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Sellest_töövihikust" defaultThemeVersion="124226"/>
  <mc:AlternateContent xmlns:mc="http://schemas.openxmlformats.org/markup-compatibility/2006">
    <mc:Choice Requires="x15">
      <x15ac:absPath xmlns:x15ac="http://schemas.microsoft.com/office/spreadsheetml/2010/11/ac" url="O:\Osakond\Merit\Eelarve täitmine\"/>
    </mc:Choice>
  </mc:AlternateContent>
  <bookViews>
    <workbookView xWindow="2130" yWindow="495" windowWidth="21810" windowHeight="12615"/>
  </bookViews>
  <sheets>
    <sheet name="eelarve täitmine2018" sheetId="23" r:id="rId1"/>
    <sheet name="investeeringud2018" sheetId="24" r:id="rId2"/>
  </sheets>
  <definedNames>
    <definedName name="_xlnm._FilterDatabase" localSheetId="1" hidden="1">investeeringud2018!$A$15:$AC$214</definedName>
    <definedName name="Z_2F8AACC4_101C_4AC3_B10D_F67AEBB69608_.wvu.Cols" localSheetId="1" hidden="1">investeeringud2018!$A:$A,investeeringud2018!$E:$E</definedName>
    <definedName name="Z_2F8AACC4_101C_4AC3_B10D_F67AEBB69608_.wvu.FilterData" localSheetId="1" hidden="1">investeeringud2018!$A$15:$AC$214</definedName>
    <definedName name="Z_5D071BF9_0AEE_4A92_9E0D_D060EFC3758A_.wvu.Cols" localSheetId="1" hidden="1">investeeringud2018!$E:$E</definedName>
    <definedName name="Z_5D071BF9_0AEE_4A92_9E0D_D060EFC3758A_.wvu.FilterData" localSheetId="1" hidden="1">investeeringud2018!$A$15:$AC$214</definedName>
    <definedName name="Z_9134FADB_CAD6_465F_AA37_25F191D0D5F0_.wvu.Cols" localSheetId="1" hidden="1">investeeringud2018!$E:$E</definedName>
    <definedName name="Z_9134FADB_CAD6_465F_AA37_25F191D0D5F0_.wvu.FilterData" localSheetId="1" hidden="1">investeeringud2018!$A$15:$AC$15</definedName>
    <definedName name="Z_B4612847_9786_45E1_AA02_EC1B10468BD4_.wvu.Cols" localSheetId="1" hidden="1">investeeringud2018!$E:$E</definedName>
    <definedName name="Z_B4612847_9786_45E1_AA02_EC1B10468BD4_.wvu.FilterData" localSheetId="1" hidden="1">investeeringud2018!$A$15:$AC$15</definedName>
    <definedName name="Z_EA9417E6_1353_4F37_BDAD_3BB01A3BE0B9_.wvu.Cols" localSheetId="1" hidden="1">investeeringud2018!$A:$A,investeeringud2018!$E:$E</definedName>
    <definedName name="Z_EA9417E6_1353_4F37_BDAD_3BB01A3BE0B9_.wvu.FilterData" localSheetId="1" hidden="1">investeeringud2018!$A$15:$AC$214</definedName>
    <definedName name="Z_F1C699B3_0ADD_4A92_A27D_97BA0E0E5DF0_.wvu.Cols" localSheetId="1" hidden="1">investeeringud2018!$E:$E</definedName>
    <definedName name="Z_F1C699B3_0ADD_4A92_A27D_97BA0E0E5DF0_.wvu.FilterData" localSheetId="1" hidden="1">investeeringud2018!$A$15:$AC$15</definedName>
  </definedNames>
  <calcPr calcId="162913"/>
</workbook>
</file>

<file path=xl/calcChain.xml><?xml version="1.0" encoding="utf-8"?>
<calcChain xmlns="http://schemas.openxmlformats.org/spreadsheetml/2006/main">
  <c r="H192" i="24" l="1"/>
  <c r="F24" i="24" l="1"/>
  <c r="G24" i="24"/>
  <c r="E24" i="24"/>
  <c r="G19" i="24"/>
  <c r="F19" i="24"/>
  <c r="G16" i="24"/>
  <c r="F16" i="24"/>
  <c r="H57" i="24"/>
  <c r="G9" i="24" l="1"/>
  <c r="F9" i="24" l="1"/>
  <c r="E53" i="24" l="1"/>
  <c r="E9" i="24" l="1"/>
  <c r="E7" i="24"/>
  <c r="F161" i="24"/>
  <c r="G161" i="24"/>
  <c r="E161" i="24"/>
  <c r="F141" i="24"/>
  <c r="F139" i="24" s="1"/>
  <c r="G141" i="24"/>
  <c r="G139" i="24" s="1"/>
  <c r="E141" i="24"/>
  <c r="E139" i="24" s="1"/>
  <c r="F11" i="24"/>
  <c r="G11" i="24"/>
  <c r="E11" i="24"/>
  <c r="H161" i="24" l="1"/>
  <c r="G12" i="23" l="1"/>
  <c r="G27" i="23" l="1"/>
  <c r="H27" i="23"/>
  <c r="I27" i="23" s="1"/>
  <c r="G48" i="23"/>
  <c r="G44" i="23"/>
  <c r="G41" i="23"/>
  <c r="G40" i="23"/>
  <c r="G36" i="23"/>
  <c r="G34" i="23"/>
  <c r="G35" i="23"/>
  <c r="G29" i="23"/>
  <c r="G28" i="23"/>
  <c r="G26" i="23"/>
  <c r="G24" i="23"/>
  <c r="G19" i="23"/>
  <c r="G16" i="23"/>
  <c r="G15" i="23"/>
  <c r="G8" i="23"/>
  <c r="G7" i="23" l="1"/>
  <c r="H38" i="23"/>
  <c r="H39" i="23"/>
  <c r="F53" i="24" l="1"/>
  <c r="F55" i="24"/>
  <c r="F67" i="24"/>
  <c r="F74" i="24"/>
  <c r="F98" i="24"/>
  <c r="F134" i="24" s="1"/>
  <c r="F114" i="24"/>
  <c r="F137" i="24"/>
  <c r="F153" i="24"/>
  <c r="F154" i="24"/>
  <c r="F159" i="24"/>
  <c r="F186" i="24"/>
  <c r="F193" i="24"/>
  <c r="F107" i="24" s="1"/>
  <c r="F58" i="24" s="1"/>
  <c r="F207" i="24"/>
  <c r="F209" i="24"/>
  <c r="F213" i="24"/>
  <c r="F102" i="24" l="1"/>
  <c r="F111" i="24"/>
  <c r="F145" i="24"/>
  <c r="F7" i="24"/>
  <c r="F6" i="24" s="1"/>
  <c r="H18" i="23"/>
  <c r="I18" i="23" s="1"/>
  <c r="H20" i="23"/>
  <c r="I20" i="23" s="1"/>
  <c r="H21" i="23"/>
  <c r="G17" i="23"/>
  <c r="G6" i="23"/>
  <c r="H7" i="23"/>
  <c r="I7" i="23" s="1"/>
  <c r="H8" i="23"/>
  <c r="I8" i="23" s="1"/>
  <c r="H9" i="23"/>
  <c r="I9" i="23" s="1"/>
  <c r="H10" i="23"/>
  <c r="I10" i="23" s="1"/>
  <c r="H11" i="23"/>
  <c r="I11" i="23"/>
  <c r="H12" i="23"/>
  <c r="I12" i="23" s="1"/>
  <c r="G13" i="23"/>
  <c r="H14" i="23"/>
  <c r="I14" i="23" s="1"/>
  <c r="H15" i="23"/>
  <c r="I15" i="23" s="1"/>
  <c r="H16" i="23"/>
  <c r="I16" i="23" s="1"/>
  <c r="H19" i="23"/>
  <c r="I19" i="23" s="1"/>
  <c r="H22" i="23"/>
  <c r="I22" i="23" s="1"/>
  <c r="H24" i="23"/>
  <c r="I24" i="23" s="1"/>
  <c r="G25" i="23"/>
  <c r="G23" i="23" s="1"/>
  <c r="H26" i="23"/>
  <c r="I26" i="23" s="1"/>
  <c r="H28" i="23"/>
  <c r="I28" i="23" s="1"/>
  <c r="G32" i="23"/>
  <c r="G33" i="23"/>
  <c r="H34" i="23"/>
  <c r="I34" i="23" s="1"/>
  <c r="H35" i="23"/>
  <c r="I35" i="23" s="1"/>
  <c r="H36" i="23"/>
  <c r="H37" i="23"/>
  <c r="I37" i="23" s="1"/>
  <c r="H40" i="23"/>
  <c r="I40" i="23" s="1"/>
  <c r="H41" i="23"/>
  <c r="I41" i="23" s="1"/>
  <c r="G43" i="23"/>
  <c r="H45" i="23"/>
  <c r="I45" i="23" s="1"/>
  <c r="H46" i="23"/>
  <c r="H47" i="23"/>
  <c r="H49" i="23"/>
  <c r="I49" i="23" s="1"/>
  <c r="H50" i="23"/>
  <c r="H51" i="23"/>
  <c r="I51" i="23" s="1"/>
  <c r="F8" i="24" l="1"/>
  <c r="H32" i="23"/>
  <c r="I32" i="23" s="1"/>
  <c r="G31" i="23"/>
  <c r="I36" i="23"/>
  <c r="G5" i="23"/>
  <c r="G30" i="23" s="1"/>
  <c r="H33" i="23"/>
  <c r="I33" i="23" s="1"/>
  <c r="H10" i="24"/>
  <c r="H68" i="24"/>
  <c r="G42" i="23" l="1"/>
  <c r="G52" i="23" s="1"/>
  <c r="H31" i="23"/>
  <c r="I31" i="23" s="1"/>
  <c r="G45" i="24" l="1"/>
  <c r="H198" i="24"/>
  <c r="H197" i="24"/>
  <c r="G116" i="24"/>
  <c r="G193" i="24"/>
  <c r="H190" i="24"/>
  <c r="G213" i="24"/>
  <c r="E58" i="23" l="1"/>
  <c r="E62" i="23"/>
  <c r="E29" i="23"/>
  <c r="D29" i="23"/>
  <c r="E25" i="23" l="1"/>
  <c r="H29" i="23"/>
  <c r="H25" i="23" l="1"/>
  <c r="I29" i="23"/>
  <c r="I25" i="23" l="1"/>
  <c r="H23" i="23"/>
  <c r="I23" i="23" s="1"/>
  <c r="E64" i="23" l="1"/>
  <c r="D64" i="23"/>
  <c r="D63" i="23"/>
  <c r="D62" i="23"/>
  <c r="E60" i="23"/>
  <c r="D60" i="23"/>
  <c r="E59" i="23"/>
  <c r="D59" i="23"/>
  <c r="D58" i="23"/>
  <c r="E57" i="23"/>
  <c r="D57" i="23"/>
  <c r="E56" i="23"/>
  <c r="E55" i="23" s="1"/>
  <c r="D56" i="23"/>
  <c r="H147" i="24" l="1"/>
  <c r="H91" i="24"/>
  <c r="D32" i="23" l="1"/>
  <c r="E32" i="23"/>
  <c r="D31" i="23"/>
  <c r="E31" i="23"/>
  <c r="H214" i="24" l="1"/>
  <c r="H213" i="24"/>
  <c r="H212" i="24"/>
  <c r="H210" i="24"/>
  <c r="G209" i="24"/>
  <c r="E209" i="24"/>
  <c r="H208" i="24"/>
  <c r="G207" i="24"/>
  <c r="E207" i="24"/>
  <c r="H205" i="24"/>
  <c r="H204" i="24"/>
  <c r="H203" i="24"/>
  <c r="H202" i="24"/>
  <c r="H201" i="24"/>
  <c r="H200" i="24"/>
  <c r="H196" i="24"/>
  <c r="H195" i="24"/>
  <c r="H194" i="24"/>
  <c r="H193" i="24"/>
  <c r="H191" i="24"/>
  <c r="H189" i="24"/>
  <c r="H187" i="24"/>
  <c r="G186" i="24"/>
  <c r="E186" i="24"/>
  <c r="H185" i="24"/>
  <c r="H184" i="24"/>
  <c r="H183" i="24"/>
  <c r="H182" i="24"/>
  <c r="H181" i="24"/>
  <c r="H180" i="24"/>
  <c r="H179" i="24"/>
  <c r="H176" i="24"/>
  <c r="H175" i="24"/>
  <c r="H174" i="24"/>
  <c r="H173" i="24"/>
  <c r="H171" i="24"/>
  <c r="H170" i="24"/>
  <c r="H169" i="24"/>
  <c r="H168" i="24"/>
  <c r="H167" i="24"/>
  <c r="H166" i="24"/>
  <c r="H162" i="24"/>
  <c r="H160" i="24"/>
  <c r="G159" i="24"/>
  <c r="E159" i="24"/>
  <c r="H155" i="24"/>
  <c r="G154" i="24"/>
  <c r="E154" i="24"/>
  <c r="H153" i="24"/>
  <c r="H152" i="24"/>
  <c r="H151" i="24"/>
  <c r="H150" i="24"/>
  <c r="H149" i="24"/>
  <c r="H148" i="24"/>
  <c r="H146" i="24"/>
  <c r="H144" i="24"/>
  <c r="H143" i="24"/>
  <c r="H140" i="24"/>
  <c r="H138" i="24"/>
  <c r="G137" i="24"/>
  <c r="E137" i="24"/>
  <c r="H136" i="24"/>
  <c r="H135" i="24"/>
  <c r="H133" i="24"/>
  <c r="H132" i="24"/>
  <c r="H131" i="24"/>
  <c r="H130" i="24"/>
  <c r="H129" i="24"/>
  <c r="H128" i="24"/>
  <c r="H127" i="24"/>
  <c r="H126" i="24"/>
  <c r="H123" i="24"/>
  <c r="H122" i="24"/>
  <c r="H120" i="24"/>
  <c r="H119" i="24"/>
  <c r="H118" i="24"/>
  <c r="H117" i="24"/>
  <c r="H116" i="24"/>
  <c r="H115" i="24"/>
  <c r="E114" i="24"/>
  <c r="E111" i="24" s="1"/>
  <c r="H113" i="24"/>
  <c r="H112" i="24"/>
  <c r="H109" i="24"/>
  <c r="H108" i="24"/>
  <c r="G107" i="24"/>
  <c r="E107" i="24"/>
  <c r="H106" i="24"/>
  <c r="H105" i="24"/>
  <c r="H103" i="24"/>
  <c r="E102" i="24"/>
  <c r="H101" i="24"/>
  <c r="H99" i="24"/>
  <c r="E98" i="24"/>
  <c r="E134" i="24" s="1"/>
  <c r="E145" i="24" s="1"/>
  <c r="H97" i="24"/>
  <c r="H96" i="24"/>
  <c r="H95" i="24"/>
  <c r="H94" i="24"/>
  <c r="H93" i="24"/>
  <c r="H92" i="24"/>
  <c r="H90" i="24"/>
  <c r="H89" i="24"/>
  <c r="H86" i="24"/>
  <c r="H85" i="24"/>
  <c r="H84" i="24"/>
  <c r="H83" i="24"/>
  <c r="H82" i="24"/>
  <c r="H81" i="24"/>
  <c r="H80" i="24"/>
  <c r="H79" i="24"/>
  <c r="H78" i="24"/>
  <c r="H77" i="24"/>
  <c r="H75" i="24"/>
  <c r="G74" i="24"/>
  <c r="E74" i="24"/>
  <c r="H72" i="24"/>
  <c r="H71" i="24"/>
  <c r="H70" i="24"/>
  <c r="H69" i="24"/>
  <c r="H65" i="24"/>
  <c r="H63" i="24"/>
  <c r="H62" i="24"/>
  <c r="H60" i="24"/>
  <c r="H59" i="24"/>
  <c r="G58" i="24"/>
  <c r="G98" i="24" s="1"/>
  <c r="H98" i="24" s="1"/>
  <c r="E58" i="24"/>
  <c r="H56" i="24"/>
  <c r="G55" i="24"/>
  <c r="G114" i="24" s="1"/>
  <c r="H114" i="24" s="1"/>
  <c r="E55" i="24"/>
  <c r="H54" i="24"/>
  <c r="G53" i="24"/>
  <c r="H52" i="24"/>
  <c r="H51" i="24"/>
  <c r="H50" i="24"/>
  <c r="H49" i="24"/>
  <c r="H47" i="24"/>
  <c r="H46" i="24"/>
  <c r="H45" i="24"/>
  <c r="H44" i="24"/>
  <c r="H43" i="24"/>
  <c r="H41" i="24"/>
  <c r="H40" i="24"/>
  <c r="H39" i="24"/>
  <c r="H38" i="24"/>
  <c r="H37" i="24"/>
  <c r="H35" i="24"/>
  <c r="H34" i="24"/>
  <c r="H33" i="24"/>
  <c r="H32" i="24"/>
  <c r="H31" i="24"/>
  <c r="H30" i="24"/>
  <c r="H27" i="24"/>
  <c r="H23" i="24"/>
  <c r="H22" i="24"/>
  <c r="H21" i="24"/>
  <c r="H20" i="24"/>
  <c r="E19" i="24"/>
  <c r="H18" i="24"/>
  <c r="H17" i="24"/>
  <c r="H11" i="24"/>
  <c r="E16" i="24"/>
  <c r="F74" i="23"/>
  <c r="F73" i="23"/>
  <c r="F72" i="23"/>
  <c r="F70" i="23"/>
  <c r="F69" i="23"/>
  <c r="F68" i="23"/>
  <c r="F66" i="23"/>
  <c r="E65" i="23"/>
  <c r="D65" i="23"/>
  <c r="F61" i="23"/>
  <c r="F60" i="23"/>
  <c r="F56" i="23"/>
  <c r="D44" i="23"/>
  <c r="F34" i="23"/>
  <c r="F28" i="23"/>
  <c r="F27" i="23"/>
  <c r="F24" i="23"/>
  <c r="F20" i="23"/>
  <c r="F19" i="23"/>
  <c r="E17" i="23"/>
  <c r="H17" i="23" s="1"/>
  <c r="I17" i="23" s="1"/>
  <c r="F14" i="23"/>
  <c r="F11" i="23"/>
  <c r="F8" i="23"/>
  <c r="F7" i="23"/>
  <c r="E6" i="23"/>
  <c r="H6" i="23" s="1"/>
  <c r="I6" i="23" s="1"/>
  <c r="G134" i="24" l="1"/>
  <c r="G145" i="24" s="1"/>
  <c r="H145" i="24" s="1"/>
  <c r="G67" i="24"/>
  <c r="H137" i="24"/>
  <c r="H209" i="24"/>
  <c r="H58" i="24"/>
  <c r="H154" i="24"/>
  <c r="H186" i="24"/>
  <c r="H141" i="24"/>
  <c r="H74" i="24"/>
  <c r="F65" i="23"/>
  <c r="E6" i="24"/>
  <c r="H19" i="24"/>
  <c r="H55" i="24"/>
  <c r="H134" i="24"/>
  <c r="H207" i="24"/>
  <c r="H53" i="24"/>
  <c r="H107" i="24"/>
  <c r="H159" i="24"/>
  <c r="D55" i="23"/>
  <c r="F64" i="23"/>
  <c r="D17" i="23"/>
  <c r="F17" i="23" s="1"/>
  <c r="E23" i="23"/>
  <c r="F35" i="23"/>
  <c r="F36" i="23"/>
  <c r="D48" i="23"/>
  <c r="D43" i="23" s="1"/>
  <c r="F15" i="23"/>
  <c r="F26" i="23"/>
  <c r="D13" i="23"/>
  <c r="E33" i="23"/>
  <c r="F45" i="23"/>
  <c r="F49" i="23"/>
  <c r="D6" i="23"/>
  <c r="F6" i="23" s="1"/>
  <c r="F22" i="23"/>
  <c r="F41" i="23"/>
  <c r="F53" i="23"/>
  <c r="F12" i="23"/>
  <c r="F18" i="23"/>
  <c r="E44" i="23"/>
  <c r="E48" i="23"/>
  <c r="H48" i="23" s="1"/>
  <c r="I48" i="23" s="1"/>
  <c r="F57" i="23"/>
  <c r="F63" i="23"/>
  <c r="H16" i="24"/>
  <c r="H139" i="24"/>
  <c r="E13" i="23"/>
  <c r="H13" i="23" s="1"/>
  <c r="I13" i="23" s="1"/>
  <c r="F9" i="23"/>
  <c r="F16" i="23"/>
  <c r="F29" i="23"/>
  <c r="F37" i="23"/>
  <c r="F40" i="23"/>
  <c r="F50" i="23"/>
  <c r="F51" i="23"/>
  <c r="F58" i="23"/>
  <c r="F62" i="23"/>
  <c r="F10" i="23"/>
  <c r="D25" i="23"/>
  <c r="D23" i="23" s="1"/>
  <c r="D33" i="23"/>
  <c r="F59" i="23"/>
  <c r="G7" i="24" l="1"/>
  <c r="G6" i="24" s="1"/>
  <c r="G111" i="24"/>
  <c r="G102" i="24"/>
  <c r="H67" i="24"/>
  <c r="G125" i="24"/>
  <c r="F44" i="23"/>
  <c r="H44" i="23"/>
  <c r="I44" i="23" s="1"/>
  <c r="H111" i="24"/>
  <c r="F55" i="23"/>
  <c r="F48" i="23"/>
  <c r="F33" i="23"/>
  <c r="F31" i="23"/>
  <c r="F32" i="23"/>
  <c r="E43" i="23"/>
  <c r="D5" i="23"/>
  <c r="F13" i="23"/>
  <c r="F23" i="23"/>
  <c r="F25" i="23"/>
  <c r="E5" i="23"/>
  <c r="E52" i="23" s="1"/>
  <c r="H102" i="24" l="1"/>
  <c r="G124" i="24"/>
  <c r="G199" i="24" s="1"/>
  <c r="G8" i="24"/>
  <c r="H8" i="24" s="1"/>
  <c r="H52" i="23"/>
  <c r="H5" i="23"/>
  <c r="F43" i="23"/>
  <c r="H43" i="23"/>
  <c r="I43" i="23" s="1"/>
  <c r="D52" i="23"/>
  <c r="F52" i="23" s="1"/>
  <c r="D30" i="23"/>
  <c r="D42" i="23" s="1"/>
  <c r="H9" i="24"/>
  <c r="H7" i="24"/>
  <c r="F5" i="23"/>
  <c r="E30" i="23"/>
  <c r="G76" i="24" l="1"/>
  <c r="I5" i="23"/>
  <c r="H30" i="23"/>
  <c r="H6" i="24"/>
  <c r="E42" i="23"/>
  <c r="F42" i="23" s="1"/>
  <c r="F30" i="23"/>
  <c r="G188" i="24" l="1"/>
  <c r="H42" i="23"/>
  <c r="I42" i="23" s="1"/>
  <c r="I30" i="23"/>
  <c r="G73" i="24" l="1"/>
  <c r="G211" i="24" l="1"/>
  <c r="G206" i="24" s="1"/>
  <c r="G48" i="24" s="1"/>
  <c r="G88" i="24" s="1"/>
  <c r="G87" i="24" s="1"/>
  <c r="G110" i="24" l="1"/>
  <c r="G61" i="24" l="1"/>
  <c r="G165" i="24" l="1"/>
  <c r="G29" i="24" l="1"/>
  <c r="G28" i="24" l="1"/>
  <c r="G26" i="24" l="1"/>
  <c r="G178" i="24" l="1"/>
  <c r="G177" i="24" l="1"/>
  <c r="G164" i="24" l="1"/>
  <c r="G15" i="24" l="1"/>
  <c r="F211" i="24"/>
  <c r="F206" i="24"/>
  <c r="F48" i="24"/>
  <c r="H48" i="24" s="1"/>
  <c r="F88" i="24"/>
  <c r="F87" i="24" s="1"/>
  <c r="H87" i="24" s="1"/>
  <c r="F125" i="24"/>
  <c r="F124" i="24"/>
  <c r="F110" i="24" s="1"/>
  <c r="H110" i="24" s="1"/>
  <c r="F199" i="24"/>
  <c r="F76" i="24"/>
  <c r="F188" i="24"/>
  <c r="F73" i="24"/>
  <c r="F61" i="24"/>
  <c r="H61" i="24" s="1"/>
  <c r="F165" i="24"/>
  <c r="H165" i="24" s="1"/>
  <c r="F29" i="24"/>
  <c r="F28" i="24" s="1"/>
  <c r="F178" i="24"/>
  <c r="F177" i="24"/>
  <c r="F15" i="24"/>
  <c r="H15" i="24" s="1"/>
  <c r="H178" i="24"/>
  <c r="H73" i="24"/>
  <c r="H188" i="24"/>
  <c r="E211" i="24"/>
  <c r="E206" i="24"/>
  <c r="E48" i="24"/>
  <c r="E28" i="24" s="1"/>
  <c r="E26" i="24" s="1"/>
  <c r="E88" i="24"/>
  <c r="E87" i="24" s="1"/>
  <c r="E61" i="24"/>
  <c r="E165" i="24"/>
  <c r="E29" i="24"/>
  <c r="E178" i="24"/>
  <c r="E177" i="24"/>
  <c r="E15" i="24"/>
  <c r="H125" i="24"/>
  <c r="H199" i="24"/>
  <c r="H124" i="24"/>
  <c r="H29" i="24"/>
  <c r="H206" i="24"/>
  <c r="H211" i="24"/>
  <c r="H88" i="24"/>
  <c r="H177" i="24"/>
  <c r="H76" i="24"/>
  <c r="F26" i="24" l="1"/>
  <c r="H26" i="24" s="1"/>
  <c r="H28" i="24"/>
  <c r="F164" i="24"/>
  <c r="H164" i="24" s="1"/>
  <c r="E199" i="24"/>
  <c r="E164" i="24"/>
  <c r="E76" i="24"/>
  <c r="E125" i="24"/>
  <c r="E124" i="24"/>
  <c r="E110" i="24"/>
  <c r="E73" i="24"/>
</calcChain>
</file>

<file path=xl/comments1.xml><?xml version="1.0" encoding="utf-8"?>
<comments xmlns="http://schemas.openxmlformats.org/spreadsheetml/2006/main">
  <authors>
    <author>kerstis</author>
  </authors>
  <commentList>
    <comment ref="C38" authorId="0" shapeId="0">
      <text>
        <r>
          <rPr>
            <b/>
            <sz val="8"/>
            <color indexed="81"/>
            <rFont val="Tahoma"/>
            <family val="2"/>
            <charset val="186"/>
          </rPr>
          <t>kerstis:</t>
        </r>
        <r>
          <rPr>
            <sz val="8"/>
            <color indexed="81"/>
            <rFont val="Tahoma"/>
            <family val="2"/>
            <charset val="186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39" authorId="0" shapeId="0">
      <text>
        <r>
          <rPr>
            <b/>
            <sz val="8"/>
            <color indexed="81"/>
            <rFont val="Tahoma"/>
            <family val="2"/>
            <charset val="186"/>
          </rPr>
          <t>kerstis:</t>
        </r>
        <r>
          <rPr>
            <sz val="8"/>
            <color indexed="81"/>
            <rFont val="Tahoma"/>
            <family val="2"/>
            <charset val="186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</commentList>
</comments>
</file>

<file path=xl/sharedStrings.xml><?xml version="1.0" encoding="utf-8"?>
<sst xmlns="http://schemas.openxmlformats.org/spreadsheetml/2006/main" count="629" uniqueCount="313">
  <si>
    <t>Põhivara soetus</t>
  </si>
  <si>
    <t>Põhivara soetuseks antav sihtfinantseerimine</t>
  </si>
  <si>
    <t>Finantskulud</t>
  </si>
  <si>
    <t>PVS</t>
  </si>
  <si>
    <t>ASF</t>
  </si>
  <si>
    <t>FK</t>
  </si>
  <si>
    <t>Investeerimistegevuse kulud objektide ja finantseerimisallikate lõikes</t>
  </si>
  <si>
    <t>IT vahendite soetamine</t>
  </si>
  <si>
    <t>MAJANDUS</t>
  </si>
  <si>
    <t>Tartu idapoolse ringtee ehitamine</t>
  </si>
  <si>
    <t>KESKKONNAKAITSE</t>
  </si>
  <si>
    <t xml:space="preserve">   Heitveekäitlus</t>
  </si>
  <si>
    <t xml:space="preserve">   Elamumajanduse arendamine</t>
  </si>
  <si>
    <t xml:space="preserve">   Tänavavalgustus</t>
  </si>
  <si>
    <t>VABA AEG ja KULTUUR</t>
  </si>
  <si>
    <t xml:space="preserve">   Spordibaasid</t>
  </si>
  <si>
    <t>HARIDUS</t>
  </si>
  <si>
    <t xml:space="preserve">   Lasteaiad (09110)</t>
  </si>
  <si>
    <t xml:space="preserve">   Muu haridus (09800)</t>
  </si>
  <si>
    <t>SOTSIAALNE KAITSE</t>
  </si>
  <si>
    <t>Hooldekodule köögitehnika soetus</t>
  </si>
  <si>
    <t>LVO</t>
  </si>
  <si>
    <t>LMO</t>
  </si>
  <si>
    <t>RO</t>
  </si>
  <si>
    <t>HO</t>
  </si>
  <si>
    <t>LK</t>
  </si>
  <si>
    <t>Täitmine aasta
algusest</t>
  </si>
  <si>
    <t>Täitm.%</t>
  </si>
  <si>
    <t>eurodes</t>
  </si>
  <si>
    <t>Eelarve täitmise aruanne</t>
  </si>
  <si>
    <t>Tartu Linnavalitsus</t>
  </si>
  <si>
    <t>seisuga:</t>
  </si>
  <si>
    <t xml:space="preserve">Eelarve </t>
  </si>
  <si>
    <t>Täitmine</t>
  </si>
  <si>
    <t>%</t>
  </si>
  <si>
    <t>kasv</t>
  </si>
  <si>
    <t>Klassifikaator</t>
  </si>
  <si>
    <t>Kirje nimetus</t>
  </si>
  <si>
    <t>täitmine</t>
  </si>
  <si>
    <t>PÕHITEGEVUSE TULUD KOKKU</t>
  </si>
  <si>
    <t>Maksutulud</t>
  </si>
  <si>
    <t>Füüsilise isiku tulumaks</t>
  </si>
  <si>
    <t>Maamaks</t>
  </si>
  <si>
    <t>Reklaamimaks</t>
  </si>
  <si>
    <t>Teede ja tänavate sulgemise maks</t>
  </si>
  <si>
    <t>Parkimistasu</t>
  </si>
  <si>
    <t>Tulud kaupade ja teenuste müügist</t>
  </si>
  <si>
    <t>3500, 352</t>
  </si>
  <si>
    <t>Saadavad toetused tegevuskuludeks</t>
  </si>
  <si>
    <t>Tasandusfond (lg 1)</t>
  </si>
  <si>
    <t>Toetusfond (lg 2)</t>
  </si>
  <si>
    <t>Muud saadud toetused tegevuskuludeks</t>
  </si>
  <si>
    <t>3825, 388</t>
  </si>
  <si>
    <t xml:space="preserve">Muud tegevustulud </t>
  </si>
  <si>
    <t>Laekumine vee erikasutusest</t>
  </si>
  <si>
    <t>Saastetasud ja keskkonnale tekitatud kahju hüvitis</t>
  </si>
  <si>
    <t xml:space="preserve">Eelpool nimetamata muud tegevustulud </t>
  </si>
  <si>
    <t>PÕHITEGEVUSE KULUD KOKKU</t>
  </si>
  <si>
    <t>40, 41, 4500, 452</t>
  </si>
  <si>
    <t>Antavad toetused tegevuskuludeks</t>
  </si>
  <si>
    <t>Muud tegevuskulud</t>
  </si>
  <si>
    <t>Tööjõukulud</t>
  </si>
  <si>
    <t>Majandamiskulud</t>
  </si>
  <si>
    <t>Muud kulud</t>
  </si>
  <si>
    <t>PÕHITEGEVUSE TULEM</t>
  </si>
  <si>
    <t>INVESTEERIMISTEGEVUS KOKKU</t>
  </si>
  <si>
    <t>sh investeerimistegevuse tulud (+)</t>
  </si>
  <si>
    <t>sh investeerimistegevuse kulud  (-)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</si>
  <si>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</si>
  <si>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</si>
  <si>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</si>
  <si>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</si>
  <si>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101.2.1</t>
  </si>
  <si>
    <t>Osaluste müük (+)</t>
  </si>
  <si>
    <t>x</t>
  </si>
  <si>
    <t>101.1.1</t>
  </si>
  <si>
    <t>Osaluste soetus (-)</t>
  </si>
  <si>
    <t>Finantstulud (+)</t>
  </si>
  <si>
    <t>Finantskulud (-)</t>
  </si>
  <si>
    <t>EELARVE TULEM (ÜLEJÄÄK (+) / PUUDUJÄÄK (-))</t>
  </si>
  <si>
    <t>FINANTSEERIMISTEGEVUS</t>
  </si>
  <si>
    <t>Kohustuste võtmine (+)</t>
  </si>
  <si>
    <t>Kohustuste tasumine (-)</t>
  </si>
  <si>
    <t>01</t>
  </si>
  <si>
    <t>Üldised valitsussektori teenused</t>
  </si>
  <si>
    <t>03</t>
  </si>
  <si>
    <t>Avalik kord ja julgeolek</t>
  </si>
  <si>
    <t>04</t>
  </si>
  <si>
    <t>Majandus</t>
  </si>
  <si>
    <t>05</t>
  </si>
  <si>
    <t>Keskkonnakaitse</t>
  </si>
  <si>
    <t>06</t>
  </si>
  <si>
    <t>Elamu- ja kommunaalmajandus</t>
  </si>
  <si>
    <t>07</t>
  </si>
  <si>
    <t>Tervishoid</t>
  </si>
  <si>
    <t>08</t>
  </si>
  <si>
    <t>Vabaaeg, kultuur ja religioon</t>
  </si>
  <si>
    <t>09</t>
  </si>
  <si>
    <t>Haridus</t>
  </si>
  <si>
    <t>10</t>
  </si>
  <si>
    <t>Sotsiaalne kaitse</t>
  </si>
  <si>
    <t>LPMKO</t>
  </si>
  <si>
    <t>Tehase tn (Tähe-Võru)</t>
  </si>
  <si>
    <t>Tamme pst kõnniteed (Tamme Kool ja Tõrukese lasteaed)</t>
  </si>
  <si>
    <t>Ujula 63/65 juurdepääsutee</t>
  </si>
  <si>
    <t>Pallase 100 puhkeala</t>
  </si>
  <si>
    <t>rattarendisüsteemi arendamine linnapiirkondade jätkusuutliku arengu programmi raames</t>
  </si>
  <si>
    <t>rattarendisüsteemi arendamine SmartEnCity projekti alal</t>
  </si>
  <si>
    <t>Jaamamõisa maa-alade korrastamine</t>
  </si>
  <si>
    <t>Raekoja plats 6 projekteerimine</t>
  </si>
  <si>
    <t>Vanemuise pargi tiigi purskkaev</t>
  </si>
  <si>
    <t xml:space="preserve">   Veevarustus</t>
  </si>
  <si>
    <t>Ülejõe ja Toomemäe parkide valgustuse rekonstrueerimine</t>
  </si>
  <si>
    <t>Uspenski kabeli fassaadi restaureerimine</t>
  </si>
  <si>
    <t>Raadi lennukiangaarid (Roosi 83)</t>
  </si>
  <si>
    <t>Telleri kabeli sisemised restaureerimistööd</t>
  </si>
  <si>
    <t>Lodjakoja ehitamine</t>
  </si>
  <si>
    <t>Lasteaed Maarjamõisa (Puusepa 10)</t>
  </si>
  <si>
    <t>Lasteaed Rukkilill (Sepa 18) rekonstrueerimise III etapp</t>
  </si>
  <si>
    <t>Lasteaed Pääsupesa (Sõpruse pst 12) rekonstrueerimise projekteerimine</t>
  </si>
  <si>
    <t>Tekkepõhine</t>
  </si>
  <si>
    <t>Kassapõhine</t>
  </si>
  <si>
    <t>Tartu linna 2018. a eelarve investeerimistegevuse kulud</t>
  </si>
  <si>
    <t>Kulu
liik</t>
  </si>
  <si>
    <t>Kinnitatud
eelarve</t>
  </si>
  <si>
    <t>Täpsustatud
eelarve</t>
  </si>
  <si>
    <t>INVESTEERIMISTEGEVUS KULUD  kokku</t>
  </si>
  <si>
    <t xml:space="preserve">  sh toetused</t>
  </si>
  <si>
    <t>ÜLDISED  VALITSUSSEKTORI TEENUSED</t>
  </si>
  <si>
    <t xml:space="preserve">    Valitsussektori võla teenindamine</t>
  </si>
  <si>
    <t>Linna laenude teenindamine</t>
  </si>
  <si>
    <t>Riigi Kinnisvara AS-ile (H. Masingu Kooli ja J.Poska Gümnaasiumi intressid)</t>
  </si>
  <si>
    <t xml:space="preserve">   Linnavalitsus</t>
  </si>
  <si>
    <t>Liisingautode väljaost ja elektriautode akude soetus</t>
  </si>
  <si>
    <t>IT tarkvara arendused</t>
  </si>
  <si>
    <t>Raekoja plats 14 ruumide remont</t>
  </si>
  <si>
    <t>Linna arenguks maa ost</t>
  </si>
  <si>
    <t xml:space="preserve">   Linna teed, tänavad ja sillad</t>
  </si>
  <si>
    <t>Võru tn (Sadama raudtee-Väike-Tähe)</t>
  </si>
  <si>
    <t>Kasesalu tn (Hipodroomi-Pääsusilma)</t>
  </si>
  <si>
    <t>Kaupmehe tn pikendus</t>
  </si>
  <si>
    <t xml:space="preserve">Jaamamõisa T24 juurdepääsutee </t>
  </si>
  <si>
    <t xml:space="preserve">Riia tn tunneli ja viadukti projekteerimine </t>
  </si>
  <si>
    <t>Narva mnt (Fortuuna-Ujula)</t>
  </si>
  <si>
    <t xml:space="preserve">Turu T55 tehnovõrgud </t>
  </si>
  <si>
    <t xml:space="preserve">projekteerimised </t>
  </si>
  <si>
    <t xml:space="preserve">   Ülekatted ja pindamised ja koostööprojektid </t>
  </si>
  <si>
    <t xml:space="preserve">   Jalg-ja jalgrattateed</t>
  </si>
  <si>
    <t>Ihaste kergliiklustee(Kasesalu-Mugasto-Pallase pst)</t>
  </si>
  <si>
    <t>Raudtee-Laseri-Aardla</t>
  </si>
  <si>
    <t xml:space="preserve">   Transpordikorraldus</t>
  </si>
  <si>
    <t>Uute bussipaviljonide aluste projekteerimine ja ehitamine</t>
  </si>
  <si>
    <t>Bussijuhtide olmetingimuste parandamiseks tualettide-
olmeruumide rajamine</t>
  </si>
  <si>
    <t xml:space="preserve">   Üldmajanduslikud arendusprojektid</t>
  </si>
  <si>
    <t>Toetus SA-le Tartu Teaduspark infrastruktuuri arendamiseks</t>
  </si>
  <si>
    <t>Toetus SA-le Tartu Loomemajanduskeskus Kalevi 17 
restaureerimise laenu katteks</t>
  </si>
  <si>
    <t xml:space="preserve">   Muu  majandus</t>
  </si>
  <si>
    <t>Investeeringud korteriühistutes projekti Smart ENCity raames</t>
  </si>
  <si>
    <t>L.Koidula ja J.V.Jannseni monumendi rajamine</t>
  </si>
  <si>
    <t>Korteriühistute remondifond</t>
  </si>
  <si>
    <t>Ettekirjutiste täitmine linna hoonetes</t>
  </si>
  <si>
    <t>Toetus hüdrantide rajamiseks</t>
  </si>
  <si>
    <t xml:space="preserve">   Haljastus</t>
  </si>
  <si>
    <t xml:space="preserve">Uue mänguväljaku (Lääne 11a) projekteerimine ja  rajamine </t>
  </si>
  <si>
    <t xml:space="preserve"> koerte jalutusväljaku rajamine</t>
  </si>
  <si>
    <t>Toomemäe spordiväljaku rekonstrueerimine</t>
  </si>
  <si>
    <t>Olemasolevate mänguväljakute atraktsioonide täiendamine</t>
  </si>
  <si>
    <t>Toomemäe  pinkide osaline väljavahetamine</t>
  </si>
  <si>
    <t>Tartu Tammiku teede ja valgustuse projekteerimine</t>
  </si>
  <si>
    <t>Pirogovi platsi rekonstrueerimine</t>
  </si>
  <si>
    <t>Projekteerimised</t>
  </si>
  <si>
    <t>ELAMU-JA KOMMUNAALMAJANDUS</t>
  </si>
  <si>
    <t>Linnale kuuluvate korterite remont</t>
  </si>
  <si>
    <t>Linna elamute rekonstrueerimine ja projekteerimine (Rahu 8)
Kredexi toetusega</t>
  </si>
  <si>
    <t>SmartENnCity osalus korteriühistute hoonete rekonstrueerimisel</t>
  </si>
  <si>
    <t>Linnale kuuluvate elamute remont</t>
  </si>
  <si>
    <t>Rahinge kandiküla ühisveevärgi ja kanalisatsioonitrassi rajamine</t>
  </si>
  <si>
    <t>Hajaasutuse puurkaevude rajamine (Tähtvere)</t>
  </si>
  <si>
    <t>Amortiseerunud mastide ja kaablite väljavahetamine</t>
  </si>
  <si>
    <t xml:space="preserve">   Muu elamu-ja kommunaaltegevus</t>
  </si>
  <si>
    <t>Rahumäe kalmistu abihoone rekonstrueerimise II etapp</t>
  </si>
  <si>
    <t>EMÜ spordihoone ehituse toetamine</t>
  </si>
  <si>
    <t>TÜ Spordihoone renoveerimise toetamine</t>
  </si>
  <si>
    <t>Toetus SA-le Tartu Sport, sh</t>
  </si>
  <si>
    <t>KO</t>
  </si>
  <si>
    <t xml:space="preserve"> A.LeCoq spordihoone (Ihaste tee 7) katuse parandamine  </t>
  </si>
  <si>
    <t>Toetus Sõudmise ja Aerutamise Klubile "Tartu" (Ranna tee 5)</t>
  </si>
  <si>
    <t>Toetus Spordiseltsile Kalev spordiinventari soetamiseks</t>
  </si>
  <si>
    <t>Toetus Tartu kalevi Vee-motoklubile spordiinventari soetamiseks</t>
  </si>
  <si>
    <t xml:space="preserve">   Puhkepargid</t>
  </si>
  <si>
    <t xml:space="preserve">Toetus SA-le Tähtvere Puhkepark, sh </t>
  </si>
  <si>
    <t xml:space="preserve">  publiku-ja lavaesise ala korrastustööd</t>
  </si>
  <si>
    <t xml:space="preserve">  laulukaare katuse remonttööd</t>
  </si>
  <si>
    <t xml:space="preserve">  liikumisrajad Emajõe kaldal ja Tähtvere dendropargis (kaasav e/a)</t>
  </si>
  <si>
    <t xml:space="preserve">  peahoone ja galeriide korrastustööd </t>
  </si>
  <si>
    <t xml:space="preserve">  tehnika rendimaksed </t>
  </si>
  <si>
    <t xml:space="preserve">  BMX krossiraja ja võimlemislinnaku arendamine</t>
  </si>
  <si>
    <t xml:space="preserve">    Raamatukogud</t>
  </si>
  <si>
    <t>O. Lutsu nim.Linnaraamatukogu  Switchide väljavahetamine</t>
  </si>
  <si>
    <t>Linnaraamatukogu videovalvesüsteemi tööde lõpetamine</t>
  </si>
  <si>
    <t xml:space="preserve">   Rahvakultuur </t>
  </si>
  <si>
    <t>Rahvariiete soetamine laulupeoliikumises osalevatele ühingutele</t>
  </si>
  <si>
    <t xml:space="preserve">   Muuseumid</t>
  </si>
  <si>
    <t>Linnamuuseum (Narva mnt 23)</t>
  </si>
  <si>
    <t xml:space="preserve">    Muinsuskaitse</t>
  </si>
  <si>
    <t xml:space="preserve">Toetus SA-le Tartu Maarja Kirik </t>
  </si>
  <si>
    <t>AEO</t>
  </si>
  <si>
    <t>Restaureerimistoetused</t>
  </si>
  <si>
    <t>Telliskabel</t>
  </si>
  <si>
    <t xml:space="preserve">   Kunst</t>
  </si>
  <si>
    <t>Toetus Tartu Kunstnike Liidule Vanemuise 26 hoones linnaresidentuuri loomiseks</t>
  </si>
  <si>
    <t xml:space="preserve">   Kirjastused </t>
  </si>
  <si>
    <t>Eesti Kirjanike Liidu Tartu osakonnale Tartu Kirjanduse Maja  
Vanemuise 19) küttesüsteemi rekonstrueerimiseks</t>
  </si>
  <si>
    <t xml:space="preserve">   Muu vabaaeg ja kultuur</t>
  </si>
  <si>
    <t xml:space="preserve">Lasteaed Helika Kalevi 52a </t>
  </si>
  <si>
    <t>Lasteaed Lepatriinu</t>
  </si>
  <si>
    <t xml:space="preserve">Lasteaedade rühmade remondid </t>
  </si>
  <si>
    <t>Lasteaedade tehnosüsteemide korrastamine</t>
  </si>
  <si>
    <t>Lasteaedade köökide remondid, köögiseadmete soetus</t>
  </si>
  <si>
    <t>Lasteaedade mänguväljakute ja õuepaviljonide korrashoid</t>
  </si>
  <si>
    <t xml:space="preserve">   Põhikoolid (09212)</t>
  </si>
  <si>
    <t>Põhikoolide rekonstrueerimine, sh</t>
  </si>
  <si>
    <t xml:space="preserve">   Raatuse Kool (Raatuse 88a)</t>
  </si>
  <si>
    <t xml:space="preserve">   Kesklinna Kool (Kroonuaia 7)</t>
  </si>
  <si>
    <t xml:space="preserve">   Variku Kool (Aianduse 4)</t>
  </si>
  <si>
    <t xml:space="preserve">   Tamme Kool (Tamme pst 24a)</t>
  </si>
  <si>
    <t xml:space="preserve">   Forseliuse Kool (Tähe 103)</t>
  </si>
  <si>
    <t xml:space="preserve">   Põhi-ja üldkeskhariduse kaudsed kulud (täistsükli koolid)</t>
  </si>
  <si>
    <t>Annelinna Gümnaasiumi (Kaunase pst 68) rekonstr. projekteerimine</t>
  </si>
  <si>
    <t xml:space="preserve">Ettekirjutiste täitmine </t>
  </si>
  <si>
    <t xml:space="preserve">Haridusasutuste territooriumide korrashoid </t>
  </si>
  <si>
    <t>Haridusasutuste rekonstrueerimistööde projekteerimised</t>
  </si>
  <si>
    <t>Reiniku kooli Riia 25 staadion</t>
  </si>
  <si>
    <t>M. Reiniku Kooli hoovi arendamine (kaasav eelarve)</t>
  </si>
  <si>
    <t>Muu puuetega inimeste sotsiaalne kaitse</t>
  </si>
  <si>
    <t>STO</t>
  </si>
  <si>
    <t>Trepitõstuki soetus</t>
  </si>
  <si>
    <t>Eakate sotsiaalhoolekande asutused</t>
  </si>
  <si>
    <t>Muu sotsiaalsete riskirühmade kaitse</t>
  </si>
  <si>
    <t>Maarja Tugikeskuse peremajade rajamine</t>
  </si>
  <si>
    <t>*</t>
  </si>
  <si>
    <t>investeeringud toetustest</t>
  </si>
  <si>
    <t>3500*, 35210</t>
  </si>
  <si>
    <t>Võlalt arvestatud intressitulu</t>
  </si>
  <si>
    <t>Trahvid</t>
  </si>
  <si>
    <t>s h töötasud</t>
  </si>
  <si>
    <t>20.5</t>
  </si>
  <si>
    <t>2080.5</t>
  </si>
  <si>
    <t>s h  võlakirjade emiteerimine</t>
  </si>
  <si>
    <t>2081.5</t>
  </si>
  <si>
    <t xml:space="preserve">       laenud</t>
  </si>
  <si>
    <t>2082.5</t>
  </si>
  <si>
    <t xml:space="preserve">       kapitalirent </t>
  </si>
  <si>
    <t>20.6</t>
  </si>
  <si>
    <t>2080.6</t>
  </si>
  <si>
    <t>s h  võlakirjade emiteerimine (tasumine)</t>
  </si>
  <si>
    <t>2081.6</t>
  </si>
  <si>
    <t xml:space="preserve">       laenud (tasumine)</t>
  </si>
  <si>
    <t>2082.6</t>
  </si>
  <si>
    <t xml:space="preserve">       kapitalirent (tasumine)</t>
  </si>
  <si>
    <t>Likviidsete varade muutus (+ suurenemine, - vähenemine)</t>
  </si>
  <si>
    <t>Nõuete ja kohustuste saldode muutus (tekkepõhise e/a korral) (+/-)</t>
  </si>
  <si>
    <t>Põhitegevuse kulud TEGEVUSALATI</t>
  </si>
  <si>
    <t>Investeerimistegevuse kulud TEGEVUSALATI</t>
  </si>
  <si>
    <t>Osakond</t>
  </si>
  <si>
    <t>Narva mnt (Puiestee-linna piir) ülekate</t>
  </si>
  <si>
    <t>2 innovaatilise lahendusega ülekäigurada</t>
  </si>
  <si>
    <t>EVO</t>
  </si>
  <si>
    <t>Pirogovi platsi tualeti soetus ja paigaldamine</t>
  </si>
  <si>
    <t>Tüve 9</t>
  </si>
  <si>
    <t>Projekt "500 kodu tuleohutuks"</t>
  </si>
  <si>
    <t>Eluruumi soetus</t>
  </si>
  <si>
    <t>Nisu tn rek koos Elektrileviga</t>
  </si>
  <si>
    <t>Valgustusliinide rekonstrueerimine</t>
  </si>
  <si>
    <t>Kalmistu tn 20 hoone rekonstrueerimine</t>
  </si>
  <si>
    <t xml:space="preserve">   kunstmuru hooldamise traktori rendimakseteks</t>
  </si>
  <si>
    <t>Veski Spordibaasi väliujula rajamine</t>
  </si>
  <si>
    <t>Turu 10 Aura Veekeskuse ekspertiis</t>
  </si>
  <si>
    <t>Spordihoonete-, rajatiste projekteerimine</t>
  </si>
  <si>
    <t>kunstlumetootmise süsteemi väljaehitamine</t>
  </si>
  <si>
    <t xml:space="preserve">vanast katlamajast uue suusa/spordimaja projekteerimine </t>
  </si>
  <si>
    <t>Mänguasjamuuseum (Lutsu 8), sh</t>
  </si>
  <si>
    <t>Teatri Kodu heli- ja valgustehnika väljavahetamine</t>
  </si>
  <si>
    <t>Toetus Eesti Lennundusmuuseumile ekspositsiooni 
täiendamiseks</t>
  </si>
  <si>
    <t>Telliskabeli katuse restaureerimine</t>
  </si>
  <si>
    <t>Kutseõppe kulud (09300)</t>
  </si>
  <si>
    <t>Põllu tn 11a hoone rekonstrueerimine ja Kopli 1 
võrgukaabeldustööd</t>
  </si>
  <si>
    <t>Noortekeskuse (Lille 9) rekonstrueerimine</t>
  </si>
  <si>
    <t>Tartu I Muusikakoolile tiibklaveri soetamine</t>
  </si>
  <si>
    <t>Igal lapsel oma pill</t>
  </si>
  <si>
    <t>M. Härma Gümnaasiumi spordipl rek projeketeerimine</t>
  </si>
  <si>
    <t>Vaksali 14  piirkonnakeskuse rek</t>
  </si>
  <si>
    <t>seisuga 31.12.2018</t>
  </si>
  <si>
    <t>Toetus EAÕK Tartu Pühade Aleksandrite Kogudusele (Sõbra 19a) piirdeaia rekonstrueerimiseks</t>
  </si>
  <si>
    <r>
      <rPr>
        <b/>
        <i/>
        <sz val="9"/>
        <rFont val="Times New Roman"/>
        <family val="1"/>
        <charset val="186"/>
      </rPr>
      <t xml:space="preserve">   </t>
    </r>
    <r>
      <rPr>
        <b/>
        <i/>
        <u/>
        <sz val="9"/>
        <rFont val="Times New Roman"/>
        <family val="1"/>
        <charset val="186"/>
      </rPr>
      <t xml:space="preserve">Tänavate rekonstrueerimine, ehitus </t>
    </r>
  </si>
  <si>
    <r>
      <t xml:space="preserve">   Noorte huviharidus ja huvitegevus </t>
    </r>
    <r>
      <rPr>
        <i/>
        <sz val="9"/>
        <rFont val="Times New Roman"/>
        <family val="1"/>
        <charset val="186"/>
      </rPr>
      <t>(Lille Maja Lille 9)</t>
    </r>
  </si>
  <si>
    <t>AVALIK KORD</t>
  </si>
  <si>
    <t>195 langenud monumendi renoveerimine</t>
  </si>
  <si>
    <t>Lasteaed Rõõmupesa</t>
  </si>
  <si>
    <t>Teatrid</t>
  </si>
  <si>
    <t>Toetus Emajõe Suveteatrile</t>
  </si>
  <si>
    <t>Toetus Tartu Uuele Teatrile</t>
  </si>
  <si>
    <t>Toetus MK Tenniseklubile tenniseväljaku katete soetamiseks</t>
  </si>
  <si>
    <t>Õppe ja IT inventari soetamine</t>
  </si>
  <si>
    <t>Muud hariduse abiteenused (09609)</t>
  </si>
  <si>
    <t>Vanemuise 33/35 hoonestusõiguse tagasiostmise korralduskulud</t>
  </si>
  <si>
    <r>
      <t>Politsei -</t>
    </r>
    <r>
      <rPr>
        <sz val="9"/>
        <rFont val="Times New Roman"/>
        <family val="1"/>
        <charset val="186"/>
      </rPr>
      <t xml:space="preserve"> toetus Lõuna Prefektuurile videovalve laiendamiseks</t>
    </r>
  </si>
  <si>
    <t>Marja tn pikenduse kergliiklussilla projekteerimine</t>
  </si>
  <si>
    <t>mitteeluhoone Kuperjanovi 9 ost ja rekonstrueerimise eelprojekt</t>
  </si>
  <si>
    <t>taristu remonttööd</t>
  </si>
  <si>
    <t>AS EmajõeVeevärk aktsiate märkimine</t>
  </si>
  <si>
    <t xml:space="preserve">  Liikluskorraldus</t>
  </si>
  <si>
    <t>Infoekraanide soetamine Kopli tn korpustes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</si>
</sst>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r_-;\-* #,##0.00\ _k_r_-;_-* &quot;-&quot;??\ _k_r_-;_-@_-"/>
    <numFmt numFmtId="165" formatCode="_(* #,##0.00_);_(* \(#,##0.00\);_(* &quot;-&quot;??_);_(@_)"/>
    <numFmt numFmtId="166" formatCode="\ #,##0.00&quot;     &quot;;\-#,##0.00&quot;     &quot;;&quot; -&quot;#&quot;     &quot;;@\ "/>
  </numFmts>
  <fonts count="51" x14ac:knownFonts="1">
    <font>
      <sz val="11"/>
      <color theme="1"/>
      <name val="Calibri"/>
      <family val="2"/>
      <charset val="186"/>
      <scheme val="minor"/>
    </font>
    <font>
      <sz val="10"/>
      <color indexed="8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color rgb="FF0000FF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9"/>
      <name val="Arial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i/>
      <sz val="9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8"/>
      <color indexed="81"/>
      <name val="Tahoma"/>
      <family val="2"/>
      <charset val="186"/>
    </font>
    <font>
      <sz val="8"/>
      <color indexed="81"/>
      <name val="Tahoma"/>
      <family val="2"/>
      <charset val="186"/>
    </font>
    <font>
      <strike/>
      <sz val="10"/>
      <name val="Cambria"/>
      <family val="1"/>
      <charset val="186"/>
    </font>
    <font>
      <sz val="11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i/>
      <u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z val="14"/>
      <name val="Times New Roman"/>
      <family val="1"/>
      <charset val="186"/>
    </font>
  </fonts>
  <fills count="6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ED2D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E1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29">
    <xf numFmtId="0" fontId="0" fillId="0" borderId="0"/>
    <xf numFmtId="0" fontId="3" fillId="0" borderId="0"/>
    <xf numFmtId="0" fontId="3" fillId="0" borderId="0"/>
    <xf numFmtId="0" fontId="6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53" borderId="4" applyNumberFormat="0" applyAlignment="0" applyProtection="0"/>
    <xf numFmtId="0" fontId="21" fillId="53" borderId="4" applyNumberFormat="0" applyAlignment="0" applyProtection="0"/>
    <xf numFmtId="0" fontId="22" fillId="54" borderId="5" applyNumberFormat="0" applyAlignment="0" applyProtection="0"/>
    <xf numFmtId="0" fontId="22" fillId="54" borderId="5" applyNumberFormat="0" applyAlignment="0" applyProtection="0"/>
    <xf numFmtId="165" fontId="3" fillId="0" borderId="0" applyFont="0" applyFill="0" applyBorder="0" applyAlignment="0" applyProtection="0"/>
    <xf numFmtId="166" fontId="23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4" applyNumberFormat="0" applyAlignment="0" applyProtection="0"/>
    <xf numFmtId="0" fontId="30" fillId="26" borderId="4" applyNumberFormat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56" borderId="10" applyNumberFormat="0" applyAlignment="0" applyProtection="0"/>
    <xf numFmtId="0" fontId="3" fillId="56" borderId="10" applyNumberFormat="0" applyAlignment="0" applyProtection="0"/>
    <xf numFmtId="0" fontId="33" fillId="53" borderId="11" applyNumberFormat="0" applyAlignment="0" applyProtection="0"/>
    <xf numFmtId="0" fontId="33" fillId="53" borderId="11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60" borderId="0" applyNumberFormat="0" applyBorder="0" applyAlignment="0" applyProtection="0"/>
    <xf numFmtId="0" fontId="30" fillId="32" borderId="4" applyNumberFormat="0" applyAlignment="0" applyProtection="0"/>
    <xf numFmtId="0" fontId="33" fillId="61" borderId="11" applyNumberFormat="0" applyAlignment="0" applyProtection="0"/>
    <xf numFmtId="0" fontId="21" fillId="61" borderId="4" applyNumberForma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22" fillId="62" borderId="5" applyNumberFormat="0" applyAlignment="0" applyProtection="0"/>
    <xf numFmtId="0" fontId="34" fillId="0" borderId="0" applyNumberFormat="0" applyFill="0" applyBorder="0" applyAlignment="0" applyProtection="0"/>
    <xf numFmtId="0" fontId="32" fillId="63" borderId="0" applyNumberFormat="0" applyBorder="0" applyAlignment="0" applyProtection="0"/>
    <xf numFmtId="0" fontId="20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64" borderId="10" applyNumberFormat="0" applyFont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5" fillId="29" borderId="0" applyNumberFormat="0" applyBorder="0" applyAlignment="0" applyProtection="0"/>
    <xf numFmtId="9" fontId="3" fillId="0" borderId="0" applyFont="0" applyFill="0" applyBorder="0" applyAlignment="0" applyProtection="0"/>
  </cellStyleXfs>
  <cellXfs count="193">
    <xf numFmtId="0" fontId="0" fillId="0" borderId="0" xfId="0"/>
    <xf numFmtId="0" fontId="4" fillId="0" borderId="0" xfId="1" applyFont="1" applyAlignment="1">
      <alignment vertical="center"/>
    </xf>
    <xf numFmtId="0" fontId="5" fillId="0" borderId="0" xfId="1" applyFont="1" applyFill="1" applyAlignment="1" applyProtection="1">
      <alignment vertical="center"/>
      <protection locked="0"/>
    </xf>
    <xf numFmtId="0" fontId="6" fillId="0" borderId="0" xfId="1" applyFont="1" applyAlignment="1" applyProtection="1">
      <alignment vertical="center"/>
      <protection locked="0"/>
    </xf>
    <xf numFmtId="4" fontId="1" fillId="0" borderId="0" xfId="1" applyNumberFormat="1" applyFont="1" applyBorder="1" applyAlignment="1" applyProtection="1">
      <alignment vertical="center"/>
      <protection locked="0"/>
    </xf>
    <xf numFmtId="0" fontId="6" fillId="0" borderId="0" xfId="1" applyFont="1" applyAlignment="1">
      <alignment vertical="center"/>
    </xf>
    <xf numFmtId="14" fontId="6" fillId="0" borderId="0" xfId="1" applyNumberFormat="1" applyFont="1" applyAlignment="1">
      <alignment vertical="center"/>
    </xf>
    <xf numFmtId="0" fontId="8" fillId="0" borderId="0" xfId="3" applyFont="1" applyFill="1" applyBorder="1" applyAlignment="1">
      <alignment horizontal="left" vertical="center"/>
    </xf>
    <xf numFmtId="3" fontId="17" fillId="0" borderId="0" xfId="3" applyNumberFormat="1" applyFont="1" applyFill="1" applyBorder="1" applyAlignment="1" applyProtection="1">
      <alignment vertical="center"/>
      <protection locked="0"/>
    </xf>
    <xf numFmtId="0" fontId="6" fillId="17" borderId="0" xfId="3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16" fillId="16" borderId="0" xfId="3" applyFont="1" applyFill="1" applyBorder="1" applyAlignment="1">
      <alignment horizontal="left" vertical="center"/>
    </xf>
    <xf numFmtId="3" fontId="17" fillId="16" borderId="0" xfId="1" applyNumberFormat="1" applyFont="1" applyFill="1" applyBorder="1" applyAlignment="1" applyProtection="1">
      <alignment vertical="center"/>
    </xf>
    <xf numFmtId="0" fontId="16" fillId="0" borderId="0" xfId="3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6" fillId="17" borderId="0" xfId="3" applyFont="1" applyFill="1" applyBorder="1" applyAlignment="1">
      <alignment vertical="center"/>
    </xf>
    <xf numFmtId="9" fontId="17" fillId="16" borderId="0" xfId="1" applyNumberFormat="1" applyFont="1" applyFill="1" applyBorder="1" applyAlignment="1" applyProtection="1">
      <alignment vertical="center"/>
    </xf>
    <xf numFmtId="0" fontId="16" fillId="16" borderId="0" xfId="1" applyFont="1" applyFill="1" applyBorder="1" applyAlignment="1">
      <alignment vertical="center"/>
    </xf>
    <xf numFmtId="0" fontId="36" fillId="0" borderId="0" xfId="0" applyFont="1"/>
    <xf numFmtId="0" fontId="37" fillId="0" borderId="0" xfId="0" applyFont="1"/>
    <xf numFmtId="0" fontId="39" fillId="0" borderId="0" xfId="0" applyFont="1"/>
    <xf numFmtId="0" fontId="40" fillId="0" borderId="0" xfId="0" applyFont="1" applyBorder="1"/>
    <xf numFmtId="0" fontId="36" fillId="0" borderId="0" xfId="0" applyFont="1" applyBorder="1"/>
    <xf numFmtId="0" fontId="41" fillId="0" borderId="0" xfId="0" applyFont="1"/>
    <xf numFmtId="0" fontId="38" fillId="0" borderId="0" xfId="0" applyFont="1"/>
    <xf numFmtId="0" fontId="36" fillId="0" borderId="1" xfId="0" applyFont="1" applyBorder="1"/>
    <xf numFmtId="0" fontId="37" fillId="0" borderId="1" xfId="0" applyFont="1" applyBorder="1"/>
    <xf numFmtId="1" fontId="40" fillId="0" borderId="0" xfId="0" applyNumberFormat="1" applyFont="1" applyBorder="1"/>
    <xf numFmtId="0" fontId="39" fillId="0" borderId="1" xfId="0" applyFont="1" applyBorder="1"/>
    <xf numFmtId="3" fontId="39" fillId="0" borderId="1" xfId="0" applyNumberFormat="1" applyFont="1" applyBorder="1"/>
    <xf numFmtId="3" fontId="40" fillId="0" borderId="0" xfId="0" applyNumberFormat="1" applyFont="1" applyBorder="1"/>
    <xf numFmtId="3" fontId="36" fillId="0" borderId="0" xfId="0" applyNumberFormat="1" applyFont="1" applyFill="1" applyBorder="1"/>
    <xf numFmtId="0" fontId="36" fillId="0" borderId="0" xfId="0" applyFont="1" applyFill="1" applyBorder="1"/>
    <xf numFmtId="3" fontId="37" fillId="0" borderId="1" xfId="0" applyNumberFormat="1" applyFont="1" applyBorder="1"/>
    <xf numFmtId="0" fontId="37" fillId="65" borderId="1" xfId="0" applyFont="1" applyFill="1" applyBorder="1"/>
    <xf numFmtId="3" fontId="37" fillId="65" borderId="1" xfId="0" applyNumberFormat="1" applyFont="1" applyFill="1" applyBorder="1"/>
    <xf numFmtId="3" fontId="37" fillId="0" borderId="0" xfId="0" applyNumberFormat="1" applyFont="1"/>
    <xf numFmtId="0" fontId="37" fillId="65" borderId="0" xfId="0" applyFont="1" applyFill="1"/>
    <xf numFmtId="0" fontId="40" fillId="0" borderId="0" xfId="0" applyFont="1"/>
    <xf numFmtId="3" fontId="40" fillId="0" borderId="0" xfId="0" applyNumberFormat="1" applyFont="1"/>
    <xf numFmtId="0" fontId="42" fillId="0" borderId="0" xfId="0" applyFont="1"/>
    <xf numFmtId="3" fontId="42" fillId="0" borderId="0" xfId="0" applyNumberFormat="1" applyFont="1"/>
    <xf numFmtId="3" fontId="36" fillId="0" borderId="0" xfId="0" applyNumberFormat="1" applyFont="1"/>
    <xf numFmtId="0" fontId="6" fillId="0" borderId="3" xfId="1" applyFont="1" applyBorder="1" applyAlignment="1">
      <alignment horizontal="center" vertical="center"/>
    </xf>
    <xf numFmtId="3" fontId="17" fillId="0" borderId="0" xfId="3" applyNumberFormat="1" applyFont="1" applyFill="1" applyBorder="1" applyAlignment="1" applyProtection="1">
      <alignment vertical="center"/>
    </xf>
    <xf numFmtId="3" fontId="17" fillId="17" borderId="0" xfId="3" applyNumberFormat="1" applyFont="1" applyFill="1" applyBorder="1" applyAlignment="1" applyProtection="1">
      <alignment vertical="center"/>
      <protection locked="0"/>
    </xf>
    <xf numFmtId="3" fontId="8" fillId="0" borderId="0" xfId="1" applyNumberFormat="1" applyFont="1" applyFill="1" applyBorder="1" applyAlignment="1">
      <alignment vertical="center"/>
    </xf>
    <xf numFmtId="3" fontId="13" fillId="15" borderId="0" xfId="1" applyNumberFormat="1" applyFont="1" applyFill="1" applyBorder="1" applyAlignment="1">
      <alignment vertical="center"/>
    </xf>
    <xf numFmtId="3" fontId="13" fillId="20" borderId="0" xfId="3" applyNumberFormat="1" applyFont="1" applyFill="1" applyBorder="1" applyAlignment="1" applyProtection="1">
      <alignment vertical="center"/>
    </xf>
    <xf numFmtId="9" fontId="13" fillId="20" borderId="0" xfId="3" applyNumberFormat="1" applyFont="1" applyFill="1" applyBorder="1" applyAlignment="1" applyProtection="1">
      <alignment vertical="center"/>
    </xf>
    <xf numFmtId="3" fontId="8" fillId="16" borderId="0" xfId="1" applyNumberFormat="1" applyFont="1" applyFill="1" applyBorder="1" applyAlignment="1" applyProtection="1">
      <alignment vertical="center"/>
    </xf>
    <xf numFmtId="9" fontId="17" fillId="16" borderId="0" xfId="1" applyNumberFormat="1" applyFont="1" applyFill="1" applyBorder="1" applyAlignment="1" applyProtection="1">
      <alignment horizontal="right" vertical="center"/>
    </xf>
    <xf numFmtId="0" fontId="15" fillId="0" borderId="0" xfId="3" applyFont="1" applyFill="1" applyBorder="1" applyAlignment="1">
      <alignment horizontal="left" vertical="center"/>
    </xf>
    <xf numFmtId="0" fontId="8" fillId="17" borderId="0" xfId="3" applyFont="1" applyFill="1" applyBorder="1" applyAlignment="1">
      <alignment horizontal="left" vertical="center"/>
    </xf>
    <xf numFmtId="49" fontId="8" fillId="17" borderId="0" xfId="3" applyNumberFormat="1" applyFont="1" applyFill="1" applyBorder="1" applyAlignment="1">
      <alignment horizontal="left" vertical="center"/>
    </xf>
    <xf numFmtId="0" fontId="16" fillId="17" borderId="0" xfId="3" applyFont="1" applyFill="1" applyBorder="1" applyAlignment="1">
      <alignment horizontal="left" vertical="center"/>
    </xf>
    <xf numFmtId="0" fontId="16" fillId="16" borderId="0" xfId="3" applyFont="1" applyFill="1" applyBorder="1" applyAlignment="1">
      <alignment vertical="center"/>
    </xf>
    <xf numFmtId="0" fontId="13" fillId="15" borderId="0" xfId="3" applyFont="1" applyFill="1" applyBorder="1" applyAlignment="1">
      <alignment horizontal="left" vertical="center"/>
    </xf>
    <xf numFmtId="0" fontId="13" fillId="15" borderId="0" xfId="3" applyFont="1" applyFill="1" applyBorder="1" applyAlignment="1">
      <alignment vertical="center"/>
    </xf>
    <xf numFmtId="3" fontId="14" fillId="15" borderId="0" xfId="3" applyNumberFormat="1" applyFont="1" applyFill="1" applyBorder="1" applyAlignment="1" applyProtection="1">
      <alignment vertical="center"/>
    </xf>
    <xf numFmtId="9" fontId="14" fillId="15" borderId="0" xfId="3" applyNumberFormat="1" applyFont="1" applyFill="1" applyBorder="1" applyAlignment="1" applyProtection="1">
      <alignment vertical="center"/>
    </xf>
    <xf numFmtId="0" fontId="15" fillId="16" borderId="0" xfId="1" applyFont="1" applyFill="1" applyBorder="1" applyAlignment="1">
      <alignment horizontal="left" vertical="center"/>
    </xf>
    <xf numFmtId="0" fontId="13" fillId="16" borderId="0" xfId="3" applyFont="1" applyFill="1" applyBorder="1" applyAlignment="1">
      <alignment vertical="center"/>
    </xf>
    <xf numFmtId="3" fontId="14" fillId="16" borderId="0" xfId="3" applyNumberFormat="1" applyFont="1" applyFill="1" applyBorder="1" applyAlignment="1" applyProtection="1">
      <alignment vertical="center"/>
    </xf>
    <xf numFmtId="9" fontId="14" fillId="16" borderId="0" xfId="3" applyNumberFormat="1" applyFont="1" applyFill="1" applyBorder="1" applyAlignment="1" applyProtection="1">
      <alignment vertical="center"/>
    </xf>
    <xf numFmtId="9" fontId="17" fillId="0" borderId="0" xfId="3" applyNumberFormat="1" applyFont="1" applyFill="1" applyBorder="1" applyAlignment="1" applyProtection="1">
      <alignment vertical="center"/>
      <protection locked="0"/>
    </xf>
    <xf numFmtId="0" fontId="15" fillId="16" borderId="0" xfId="3" applyFont="1" applyFill="1" applyBorder="1" applyAlignment="1">
      <alignment horizontal="left" vertical="center"/>
    </xf>
    <xf numFmtId="0" fontId="16" fillId="0" borderId="0" xfId="3" applyFont="1" applyFill="1" applyBorder="1" applyAlignment="1">
      <alignment horizontal="left" vertical="center"/>
    </xf>
    <xf numFmtId="9" fontId="17" fillId="0" borderId="0" xfId="3" applyNumberFormat="1" applyFont="1" applyFill="1" applyBorder="1" applyAlignment="1" applyProtection="1">
      <alignment vertical="center"/>
    </xf>
    <xf numFmtId="9" fontId="13" fillId="15" borderId="0" xfId="1" applyNumberFormat="1" applyFont="1" applyFill="1" applyBorder="1" applyAlignment="1">
      <alignment vertical="center"/>
    </xf>
    <xf numFmtId="9" fontId="13" fillId="16" borderId="0" xfId="3" applyNumberFormat="1" applyFont="1" applyFill="1" applyBorder="1" applyAlignment="1">
      <alignment vertical="center"/>
    </xf>
    <xf numFmtId="9" fontId="17" fillId="17" borderId="0" xfId="3" applyNumberFormat="1" applyFont="1" applyFill="1" applyBorder="1" applyAlignment="1" applyProtection="1">
      <alignment vertical="center"/>
      <protection locked="0"/>
    </xf>
    <xf numFmtId="9" fontId="8" fillId="0" borderId="0" xfId="1" applyNumberFormat="1" applyFont="1" applyFill="1" applyBorder="1" applyAlignment="1">
      <alignment vertical="center"/>
    </xf>
    <xf numFmtId="0" fontId="13" fillId="18" borderId="0" xfId="1" applyFont="1" applyFill="1" applyBorder="1" applyAlignment="1">
      <alignment horizontal="left" vertical="center"/>
    </xf>
    <xf numFmtId="0" fontId="8" fillId="18" borderId="0" xfId="1" applyFont="1" applyFill="1" applyBorder="1" applyAlignment="1">
      <alignment vertical="center"/>
    </xf>
    <xf numFmtId="3" fontId="13" fillId="18" borderId="0" xfId="1" applyNumberFormat="1" applyFont="1" applyFill="1" applyBorder="1" applyAlignment="1">
      <alignment vertical="center"/>
    </xf>
    <xf numFmtId="9" fontId="13" fillId="18" borderId="0" xfId="1" applyNumberFormat="1" applyFont="1" applyFill="1" applyBorder="1" applyAlignment="1">
      <alignment vertical="center"/>
    </xf>
    <xf numFmtId="0" fontId="13" fillId="15" borderId="0" xfId="1" applyFont="1" applyFill="1" applyBorder="1" applyAlignment="1">
      <alignment horizontal="left" vertical="center"/>
    </xf>
    <xf numFmtId="0" fontId="8" fillId="15" borderId="0" xfId="1" applyFont="1" applyFill="1" applyBorder="1" applyAlignment="1">
      <alignment vertical="center"/>
    </xf>
    <xf numFmtId="49" fontId="8" fillId="0" borderId="0" xfId="3" applyNumberFormat="1" applyFont="1" applyFill="1" applyBorder="1" applyAlignment="1">
      <alignment horizontal="left" vertical="center"/>
    </xf>
    <xf numFmtId="9" fontId="17" fillId="0" borderId="0" xfId="3" applyNumberFormat="1" applyFont="1" applyFill="1" applyBorder="1" applyAlignment="1" applyProtection="1">
      <alignment horizontal="right" vertical="center"/>
      <protection locked="0"/>
    </xf>
    <xf numFmtId="0" fontId="8" fillId="19" borderId="0" xfId="1" applyFont="1" applyFill="1" applyBorder="1" applyAlignment="1">
      <alignment horizontal="left" vertical="center"/>
    </xf>
    <xf numFmtId="0" fontId="13" fillId="18" borderId="0" xfId="3" applyFont="1" applyFill="1" applyBorder="1" applyAlignment="1">
      <alignment horizontal="left" vertical="center"/>
    </xf>
    <xf numFmtId="0" fontId="8" fillId="18" borderId="0" xfId="3" applyFont="1" applyFill="1" applyBorder="1" applyAlignment="1">
      <alignment vertical="center"/>
    </xf>
    <xf numFmtId="0" fontId="8" fillId="15" borderId="0" xfId="1" applyFont="1" applyFill="1" applyBorder="1" applyAlignment="1">
      <alignment horizontal="left" vertical="center"/>
    </xf>
    <xf numFmtId="9" fontId="17" fillId="17" borderId="0" xfId="3" applyNumberFormat="1" applyFont="1" applyFill="1" applyBorder="1" applyAlignment="1" applyProtection="1">
      <alignment horizontal="right" vertical="center"/>
      <protection locked="0"/>
    </xf>
    <xf numFmtId="0" fontId="8" fillId="15" borderId="0" xfId="3" applyFont="1" applyFill="1" applyBorder="1" applyAlignment="1">
      <alignment vertical="center"/>
    </xf>
    <xf numFmtId="3" fontId="13" fillId="15" borderId="0" xfId="3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vertical="center"/>
    </xf>
    <xf numFmtId="3" fontId="17" fillId="0" borderId="0" xfId="1" applyNumberFormat="1" applyFont="1" applyFill="1" applyBorder="1" applyAlignment="1">
      <alignment vertical="center"/>
    </xf>
    <xf numFmtId="3" fontId="8" fillId="0" borderId="0" xfId="3" applyNumberFormat="1" applyFont="1" applyFill="1" applyBorder="1" applyAlignment="1" applyProtection="1">
      <alignment vertical="center"/>
    </xf>
    <xf numFmtId="9" fontId="8" fillId="0" borderId="0" xfId="3" applyNumberFormat="1" applyFont="1" applyFill="1" applyBorder="1" applyAlignment="1" applyProtection="1">
      <alignment vertical="center"/>
    </xf>
    <xf numFmtId="0" fontId="8" fillId="20" borderId="0" xfId="1" applyFont="1" applyFill="1" applyBorder="1" applyAlignment="1">
      <alignment horizontal="left" vertical="center"/>
    </xf>
    <xf numFmtId="3" fontId="14" fillId="20" borderId="0" xfId="3" applyNumberFormat="1" applyFont="1" applyFill="1" applyBorder="1" applyAlignment="1" applyProtection="1">
      <alignment vertical="center"/>
    </xf>
    <xf numFmtId="49" fontId="8" fillId="16" borderId="0" xfId="3" applyNumberFormat="1" applyFont="1" applyFill="1" applyBorder="1" applyAlignment="1">
      <alignment horizontal="left" vertical="center"/>
    </xf>
    <xf numFmtId="0" fontId="3" fillId="0" borderId="0" xfId="2"/>
    <xf numFmtId="3" fontId="3" fillId="0" borderId="0" xfId="2" applyNumberFormat="1"/>
    <xf numFmtId="0" fontId="45" fillId="0" borderId="0" xfId="2" applyFont="1"/>
    <xf numFmtId="3" fontId="45" fillId="0" borderId="0" xfId="2" applyNumberFormat="1" applyFont="1"/>
    <xf numFmtId="3" fontId="39" fillId="0" borderId="0" xfId="0" applyNumberFormat="1" applyFont="1"/>
    <xf numFmtId="0" fontId="37" fillId="0" borderId="1" xfId="0" applyFont="1" applyBorder="1" applyAlignment="1">
      <alignment horizontal="center" vertical="center" wrapText="1"/>
    </xf>
    <xf numFmtId="1" fontId="37" fillId="0" borderId="1" xfId="0" applyNumberFormat="1" applyFont="1" applyBorder="1" applyAlignment="1">
      <alignment horizontal="center" vertical="center" wrapText="1"/>
    </xf>
    <xf numFmtId="1" fontId="37" fillId="0" borderId="13" xfId="0" applyNumberFormat="1" applyFont="1" applyBorder="1" applyAlignment="1">
      <alignment horizontal="center" vertical="center"/>
    </xf>
    <xf numFmtId="0" fontId="16" fillId="0" borderId="1" xfId="0" applyFont="1" applyFill="1" applyBorder="1"/>
    <xf numFmtId="0" fontId="16" fillId="0" borderId="1" xfId="0" applyFont="1" applyBorder="1"/>
    <xf numFmtId="0" fontId="16" fillId="0" borderId="1" xfId="0" applyFont="1" applyBorder="1" applyAlignment="1">
      <alignment horizontal="left" wrapText="1" indent="1"/>
    </xf>
    <xf numFmtId="3" fontId="16" fillId="0" borderId="1" xfId="0" applyNumberFormat="1" applyFont="1" applyBorder="1"/>
    <xf numFmtId="9" fontId="17" fillId="17" borderId="0" xfId="628" applyFont="1" applyFill="1" applyBorder="1" applyAlignment="1" applyProtection="1">
      <alignment vertical="center"/>
      <protection locked="0"/>
    </xf>
    <xf numFmtId="9" fontId="17" fillId="0" borderId="0" xfId="628" applyFont="1" applyFill="1" applyBorder="1" applyAlignment="1" applyProtection="1">
      <alignment vertical="center"/>
      <protection locked="0"/>
    </xf>
    <xf numFmtId="0" fontId="6" fillId="0" borderId="0" xfId="1" applyFont="1" applyBorder="1" applyAlignment="1">
      <alignment vertical="center"/>
    </xf>
    <xf numFmtId="0" fontId="6" fillId="0" borderId="20" xfId="1" applyFont="1" applyBorder="1" applyAlignment="1">
      <alignment horizontal="center" vertical="center" wrapText="1"/>
    </xf>
    <xf numFmtId="0" fontId="8" fillId="0" borderId="14" xfId="3" applyFont="1" applyFill="1" applyBorder="1" applyAlignment="1" applyProtection="1">
      <alignment horizontal="left" vertical="center"/>
      <protection locked="0"/>
    </xf>
    <xf numFmtId="0" fontId="9" fillId="0" borderId="3" xfId="3" applyFont="1" applyFill="1" applyBorder="1" applyAlignment="1" applyProtection="1">
      <alignment horizontal="right" vertical="center"/>
      <protection locked="0"/>
    </xf>
    <xf numFmtId="14" fontId="10" fillId="0" borderId="3" xfId="3" applyNumberFormat="1" applyFont="1" applyFill="1" applyBorder="1" applyAlignment="1" applyProtection="1">
      <alignment horizontal="left" vertical="center"/>
      <protection locked="0"/>
    </xf>
    <xf numFmtId="0" fontId="12" fillId="0" borderId="16" xfId="1" applyFont="1" applyBorder="1" applyAlignment="1">
      <alignment horizontal="left" vertical="center"/>
    </xf>
    <xf numFmtId="0" fontId="8" fillId="0" borderId="17" xfId="1" applyFont="1" applyBorder="1" applyAlignment="1">
      <alignment vertical="center"/>
    </xf>
    <xf numFmtId="0" fontId="12" fillId="0" borderId="17" xfId="3" applyFont="1" applyFill="1" applyBorder="1" applyAlignment="1" applyProtection="1">
      <alignment horizontal="left" vertical="center"/>
      <protection locked="0"/>
    </xf>
    <xf numFmtId="0" fontId="6" fillId="0" borderId="17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1" xfId="0" applyFont="1" applyBorder="1"/>
    <xf numFmtId="3" fontId="16" fillId="0" borderId="13" xfId="0" applyNumberFormat="1" applyFont="1" applyBorder="1"/>
    <xf numFmtId="3" fontId="46" fillId="0" borderId="0" xfId="0" applyNumberFormat="1" applyFont="1" applyBorder="1"/>
    <xf numFmtId="4" fontId="6" fillId="0" borderId="0" xfId="0" applyNumberFormat="1" applyFont="1" applyBorder="1"/>
    <xf numFmtId="0" fontId="6" fillId="0" borderId="0" xfId="0" applyFont="1" applyBorder="1"/>
    <xf numFmtId="0" fontId="6" fillId="0" borderId="0" xfId="0" applyFont="1"/>
    <xf numFmtId="0" fontId="16" fillId="65" borderId="1" xfId="0" applyFont="1" applyFill="1" applyBorder="1"/>
    <xf numFmtId="3" fontId="16" fillId="65" borderId="1" xfId="0" applyNumberFormat="1" applyFont="1" applyFill="1" applyBorder="1"/>
    <xf numFmtId="3" fontId="16" fillId="65" borderId="13" xfId="0" applyNumberFormat="1" applyFont="1" applyFill="1" applyBorder="1"/>
    <xf numFmtId="3" fontId="16" fillId="0" borderId="1" xfId="0" applyNumberFormat="1" applyFont="1" applyFill="1" applyBorder="1"/>
    <xf numFmtId="0" fontId="15" fillId="0" borderId="1" xfId="0" applyFont="1" applyBorder="1"/>
    <xf numFmtId="3" fontId="47" fillId="0" borderId="1" xfId="0" applyNumberFormat="1" applyFont="1" applyBorder="1"/>
    <xf numFmtId="3" fontId="46" fillId="0" borderId="0" xfId="0" applyNumberFormat="1" applyFont="1" applyFill="1" applyBorder="1"/>
    <xf numFmtId="4" fontId="6" fillId="0" borderId="0" xfId="0" applyNumberFormat="1" applyFont="1" applyFill="1" applyBorder="1"/>
    <xf numFmtId="0" fontId="47" fillId="0" borderId="1" xfId="0" applyFont="1" applyBorder="1"/>
    <xf numFmtId="0" fontId="16" fillId="0" borderId="1" xfId="0" applyFont="1" applyBorder="1" applyAlignment="1">
      <alignment wrapText="1"/>
    </xf>
    <xf numFmtId="3" fontId="15" fillId="0" borderId="1" xfId="0" applyNumberFormat="1" applyFont="1" applyBorder="1"/>
    <xf numFmtId="3" fontId="6" fillId="0" borderId="0" xfId="0" applyNumberFormat="1" applyFont="1" applyBorder="1"/>
    <xf numFmtId="3" fontId="6" fillId="0" borderId="0" xfId="0" applyNumberFormat="1" applyFont="1" applyFill="1" applyBorder="1"/>
    <xf numFmtId="0" fontId="48" fillId="0" borderId="1" xfId="0" applyFont="1" applyBorder="1"/>
    <xf numFmtId="3" fontId="4" fillId="0" borderId="0" xfId="0" applyNumberFormat="1" applyFont="1" applyBorder="1"/>
    <xf numFmtId="3" fontId="47" fillId="0" borderId="1" xfId="0" applyNumberFormat="1" applyFont="1" applyFill="1" applyBorder="1"/>
    <xf numFmtId="3" fontId="15" fillId="0" borderId="1" xfId="0" applyNumberFormat="1" applyFont="1" applyBorder="1" applyAlignment="1">
      <alignment wrapText="1"/>
    </xf>
    <xf numFmtId="3" fontId="16" fillId="66" borderId="1" xfId="0" applyNumberFormat="1" applyFont="1" applyFill="1" applyBorder="1"/>
    <xf numFmtId="3" fontId="16" fillId="0" borderId="1" xfId="0" applyNumberFormat="1" applyFont="1" applyBorder="1" applyAlignment="1">
      <alignment wrapText="1"/>
    </xf>
    <xf numFmtId="3" fontId="16" fillId="0" borderId="1" xfId="0" applyNumberFormat="1" applyFont="1" applyBorder="1" applyAlignment="1"/>
    <xf numFmtId="3" fontId="16" fillId="0" borderId="1" xfId="0" applyNumberFormat="1" applyFont="1" applyBorder="1" applyAlignment="1">
      <alignment horizontal="left" indent="1"/>
    </xf>
    <xf numFmtId="0" fontId="16" fillId="0" borderId="0" xfId="0" applyFont="1" applyBorder="1"/>
    <xf numFmtId="0" fontId="50" fillId="0" borderId="0" xfId="0" applyFont="1" applyBorder="1"/>
    <xf numFmtId="0" fontId="49" fillId="0" borderId="1" xfId="0" applyFont="1" applyBorder="1"/>
    <xf numFmtId="3" fontId="49" fillId="0" borderId="1" xfId="0" applyNumberFormat="1" applyFont="1" applyBorder="1"/>
    <xf numFmtId="0" fontId="6" fillId="0" borderId="1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16" fillId="65" borderId="1" xfId="0" applyFont="1" applyFill="1" applyBorder="1" applyAlignment="1">
      <alignment wrapText="1"/>
    </xf>
    <xf numFmtId="0" fontId="47" fillId="0" borderId="1" xfId="0" applyFont="1" applyFill="1" applyBorder="1"/>
    <xf numFmtId="3" fontId="49" fillId="0" borderId="1" xfId="0" applyNumberFormat="1" applyFont="1" applyFill="1" applyBorder="1"/>
    <xf numFmtId="0" fontId="15" fillId="0" borderId="1" xfId="0" applyFont="1" applyBorder="1" applyAlignment="1">
      <alignment wrapText="1"/>
    </xf>
    <xf numFmtId="3" fontId="49" fillId="0" borderId="1" xfId="0" applyNumberFormat="1" applyFont="1" applyFill="1" applyBorder="1" applyAlignment="1">
      <alignment horizontal="left" indent="1"/>
    </xf>
    <xf numFmtId="0" fontId="47" fillId="0" borderId="1" xfId="0" applyFont="1" applyFill="1" applyBorder="1" applyAlignment="1">
      <alignment horizontal="left" indent="1"/>
    </xf>
    <xf numFmtId="0" fontId="16" fillId="0" borderId="1" xfId="0" applyFont="1" applyFill="1" applyBorder="1" applyAlignment="1">
      <alignment wrapText="1"/>
    </xf>
    <xf numFmtId="3" fontId="15" fillId="0" borderId="1" xfId="0" applyNumberFormat="1" applyFont="1" applyFill="1" applyBorder="1"/>
    <xf numFmtId="3" fontId="16" fillId="0" borderId="13" xfId="0" applyNumberFormat="1" applyFont="1" applyFill="1" applyBorder="1"/>
    <xf numFmtId="3" fontId="16" fillId="66" borderId="13" xfId="0" applyNumberFormat="1" applyFont="1" applyFill="1" applyBorder="1"/>
    <xf numFmtId="3" fontId="15" fillId="0" borderId="13" xfId="0" applyNumberFormat="1" applyFont="1" applyBorder="1"/>
    <xf numFmtId="3" fontId="46" fillId="0" borderId="0" xfId="0" applyNumberFormat="1" applyFont="1" applyFill="1" applyBorder="1" applyAlignment="1">
      <alignment wrapText="1"/>
    </xf>
    <xf numFmtId="0" fontId="16" fillId="0" borderId="1" xfId="0" applyFont="1" applyFill="1" applyBorder="1" applyAlignment="1">
      <alignment horizontal="left" indent="1"/>
    </xf>
    <xf numFmtId="0" fontId="16" fillId="0" borderId="1" xfId="0" applyFont="1" applyBorder="1" applyAlignment="1">
      <alignment vertical="center" wrapText="1"/>
    </xf>
    <xf numFmtId="0" fontId="16" fillId="65" borderId="1" xfId="0" applyFont="1" applyFill="1" applyBorder="1" applyAlignment="1">
      <alignment vertical="center" wrapText="1"/>
    </xf>
    <xf numFmtId="0" fontId="15" fillId="0" borderId="0" xfId="534" applyFont="1" applyFill="1" applyBorder="1" applyAlignment="1">
      <alignment vertical="center"/>
    </xf>
    <xf numFmtId="3" fontId="16" fillId="0" borderId="13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3" fontId="16" fillId="65" borderId="13" xfId="0" applyNumberFormat="1" applyFont="1" applyFill="1" applyBorder="1" applyAlignment="1">
      <alignment horizontal="right"/>
    </xf>
    <xf numFmtId="3" fontId="13" fillId="0" borderId="0" xfId="3" applyNumberFormat="1" applyFont="1" applyFill="1" applyBorder="1" applyAlignment="1" applyProtection="1">
      <alignment vertical="center"/>
    </xf>
    <xf numFmtId="9" fontId="13" fillId="0" borderId="0" xfId="3" applyNumberFormat="1" applyFont="1" applyFill="1" applyBorder="1" applyAlignment="1" applyProtection="1">
      <alignment vertical="center"/>
    </xf>
    <xf numFmtId="3" fontId="17" fillId="0" borderId="0" xfId="1" applyNumberFormat="1" applyFont="1" applyFill="1" applyBorder="1" applyAlignment="1" applyProtection="1">
      <alignment vertical="center"/>
    </xf>
    <xf numFmtId="9" fontId="17" fillId="0" borderId="0" xfId="1" applyNumberFormat="1" applyFont="1" applyFill="1" applyBorder="1" applyAlignment="1" applyProtection="1">
      <alignment vertical="center"/>
    </xf>
    <xf numFmtId="9" fontId="17" fillId="0" borderId="0" xfId="1" applyNumberFormat="1" applyFont="1" applyFill="1" applyBorder="1" applyAlignment="1" applyProtection="1">
      <alignment horizontal="right" vertical="center"/>
    </xf>
    <xf numFmtId="3" fontId="16" fillId="65" borderId="1" xfId="0" applyNumberFormat="1" applyFont="1" applyFill="1" applyBorder="1" applyAlignment="1">
      <alignment vertical="center" wrapText="1"/>
    </xf>
    <xf numFmtId="0" fontId="16" fillId="65" borderId="1" xfId="0" applyFont="1" applyFill="1" applyBorder="1" applyAlignment="1">
      <alignment horizontal="right" vertical="center" wrapText="1"/>
    </xf>
    <xf numFmtId="0" fontId="16" fillId="0" borderId="1" xfId="0" applyFont="1" applyBorder="1" applyAlignment="1">
      <alignment horizontal="left" indent="1"/>
    </xf>
    <xf numFmtId="3" fontId="16" fillId="65" borderId="1" xfId="0" applyNumberFormat="1" applyFont="1" applyFill="1" applyBorder="1" applyAlignment="1">
      <alignment horizontal="right"/>
    </xf>
    <xf numFmtId="3" fontId="16" fillId="0" borderId="0" xfId="0" applyNumberFormat="1" applyFont="1" applyBorder="1"/>
    <xf numFmtId="0" fontId="6" fillId="0" borderId="3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15" fillId="20" borderId="0" xfId="3" applyFont="1" applyFill="1" applyBorder="1" applyAlignment="1">
      <alignment vertical="center" wrapText="1"/>
    </xf>
    <xf numFmtId="0" fontId="16" fillId="20" borderId="0" xfId="1" applyFont="1" applyFill="1" applyBorder="1" applyAlignment="1">
      <alignment vertical="center" wrapText="1"/>
    </xf>
    <xf numFmtId="0" fontId="6" fillId="0" borderId="19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4" fontId="11" fillId="0" borderId="3" xfId="3" applyNumberFormat="1" applyFont="1" applyFill="1" applyBorder="1" applyAlignment="1" applyProtection="1">
      <alignment horizontal="center" vertical="center" wrapText="1"/>
      <protection locked="0"/>
    </xf>
    <xf numFmtId="4" fontId="11" fillId="0" borderId="1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</cellXfs>
  <cellStyles count="629">
    <cellStyle name="20% - Accent1 2" xfId="4"/>
    <cellStyle name="20% - Accent1 2 2" xfId="5"/>
    <cellStyle name="20% - Accent1 2 3" xfId="6"/>
    <cellStyle name="20% - Accent1 2 4" xfId="7"/>
    <cellStyle name="20% - Accent1 2 5" xfId="8"/>
    <cellStyle name="20% - Accent1 2 6" xfId="9"/>
    <cellStyle name="20% - Accent1 3" xfId="10"/>
    <cellStyle name="20% - Accent1 3 2" xfId="11"/>
    <cellStyle name="20% - Accent1 3 3" xfId="12"/>
    <cellStyle name="20% - Accent1 3 4" xfId="13"/>
    <cellStyle name="20% - Accent1 3 5" xfId="14"/>
    <cellStyle name="20% - Accent1 3 6" xfId="15"/>
    <cellStyle name="20% - Accent2 2" xfId="16"/>
    <cellStyle name="20% - Accent2 2 2" xfId="17"/>
    <cellStyle name="20% - Accent2 2 3" xfId="18"/>
    <cellStyle name="20% - Accent2 2 4" xfId="19"/>
    <cellStyle name="20% - Accent2 2 5" xfId="20"/>
    <cellStyle name="20% - Accent2 2 6" xfId="21"/>
    <cellStyle name="20% - Accent2 3" xfId="22"/>
    <cellStyle name="20% - Accent2 3 2" xfId="23"/>
    <cellStyle name="20% - Accent2 3 3" xfId="24"/>
    <cellStyle name="20% - Accent2 3 4" xfId="25"/>
    <cellStyle name="20% - Accent2 3 5" xfId="26"/>
    <cellStyle name="20% - Accent2 3 6" xfId="27"/>
    <cellStyle name="20% - Accent3 2" xfId="28"/>
    <cellStyle name="20% - Accent3 2 2" xfId="29"/>
    <cellStyle name="20% - Accent3 2 3" xfId="30"/>
    <cellStyle name="20% - Accent3 2 4" xfId="31"/>
    <cellStyle name="20% - Accent3 2 5" xfId="32"/>
    <cellStyle name="20% - Accent3 2 6" xfId="33"/>
    <cellStyle name="20% - Accent3 3" xfId="34"/>
    <cellStyle name="20% - Accent3 3 2" xfId="35"/>
    <cellStyle name="20% - Accent3 3 3" xfId="36"/>
    <cellStyle name="20% - Accent3 3 4" xfId="37"/>
    <cellStyle name="20% - Accent3 3 5" xfId="38"/>
    <cellStyle name="20% - Accent3 3 6" xfId="39"/>
    <cellStyle name="20% - Accent4 2" xfId="40"/>
    <cellStyle name="20% - Accent4 2 2" xfId="41"/>
    <cellStyle name="20% - Accent4 2 3" xfId="42"/>
    <cellStyle name="20% - Accent4 2 4" xfId="43"/>
    <cellStyle name="20% - Accent4 2 5" xfId="44"/>
    <cellStyle name="20% - Accent4 2 6" xfId="45"/>
    <cellStyle name="20% - Accent4 3" xfId="46"/>
    <cellStyle name="20% - Accent4 3 2" xfId="47"/>
    <cellStyle name="20% - Accent4 3 3" xfId="48"/>
    <cellStyle name="20% - Accent4 3 4" xfId="49"/>
    <cellStyle name="20% - Accent4 3 5" xfId="50"/>
    <cellStyle name="20% - Accent4 3 6" xfId="51"/>
    <cellStyle name="20% - Accent5 2" xfId="52"/>
    <cellStyle name="20% - Accent5 2 2" xfId="53"/>
    <cellStyle name="20% - Accent5 2 3" xfId="54"/>
    <cellStyle name="20% - Accent5 2 4" xfId="55"/>
    <cellStyle name="20% - Accent5 2 5" xfId="56"/>
    <cellStyle name="20% - Accent5 2 6" xfId="57"/>
    <cellStyle name="20% - Accent5 3" xfId="58"/>
    <cellStyle name="20% - Accent5 3 2" xfId="59"/>
    <cellStyle name="20% - Accent5 3 3" xfId="60"/>
    <cellStyle name="20% - Accent5 3 4" xfId="61"/>
    <cellStyle name="20% - Accent5 3 5" xfId="62"/>
    <cellStyle name="20% - Accent5 3 6" xfId="63"/>
    <cellStyle name="20% - Accent6 2" xfId="64"/>
    <cellStyle name="20% - Accent6 2 2" xfId="65"/>
    <cellStyle name="20% - Accent6 2 3" xfId="66"/>
    <cellStyle name="20% - Accent6 2 4" xfId="67"/>
    <cellStyle name="20% - Accent6 2 5" xfId="68"/>
    <cellStyle name="20% - Accent6 2 6" xfId="69"/>
    <cellStyle name="20% - Accent6 3" xfId="70"/>
    <cellStyle name="20% - Accent6 3 2" xfId="71"/>
    <cellStyle name="20% - Accent6 3 3" xfId="72"/>
    <cellStyle name="20% - Accent6 3 4" xfId="73"/>
    <cellStyle name="20% - Accent6 3 5" xfId="74"/>
    <cellStyle name="20% - Accent6 3 6" xfId="75"/>
    <cellStyle name="20% – rõhk1 10" xfId="76"/>
    <cellStyle name="20% – rõhk1 2" xfId="77"/>
    <cellStyle name="20% – rõhk1 2 2" xfId="78"/>
    <cellStyle name="20% – rõhk1 2 2 2" xfId="79"/>
    <cellStyle name="20% – rõhk1 2 3" xfId="80"/>
    <cellStyle name="20% – rõhk1 3" xfId="81"/>
    <cellStyle name="20% – rõhk1 3 2" xfId="82"/>
    <cellStyle name="20% – rõhk1 4" xfId="83"/>
    <cellStyle name="20% – rõhk1 4 2" xfId="84"/>
    <cellStyle name="20% – rõhk1 5" xfId="85"/>
    <cellStyle name="20% – rõhk1 5 2" xfId="86"/>
    <cellStyle name="20% – rõhk1 6" xfId="87"/>
    <cellStyle name="20% – rõhk1 6 2" xfId="88"/>
    <cellStyle name="20% – rõhk1 7" xfId="89"/>
    <cellStyle name="20% – rõhk1 7 2" xfId="90"/>
    <cellStyle name="20% – rõhk1 8" xfId="91"/>
    <cellStyle name="20% – rõhk1 8 2" xfId="92"/>
    <cellStyle name="20% – rõhk1 9" xfId="93"/>
    <cellStyle name="20% – rõhk2 10" xfId="94"/>
    <cellStyle name="20% – rõhk2 2" xfId="95"/>
    <cellStyle name="20% – rõhk2 2 2" xfId="96"/>
    <cellStyle name="20% – rõhk2 2 2 2" xfId="97"/>
    <cellStyle name="20% – rõhk2 2 3" xfId="98"/>
    <cellStyle name="20% – rõhk2 3" xfId="99"/>
    <cellStyle name="20% – rõhk2 3 2" xfId="100"/>
    <cellStyle name="20% – rõhk2 4" xfId="101"/>
    <cellStyle name="20% – rõhk2 4 2" xfId="102"/>
    <cellStyle name="20% – rõhk2 5" xfId="103"/>
    <cellStyle name="20% – rõhk2 5 2" xfId="104"/>
    <cellStyle name="20% – rõhk2 6" xfId="105"/>
    <cellStyle name="20% – rõhk2 6 2" xfId="106"/>
    <cellStyle name="20% – rõhk2 7" xfId="107"/>
    <cellStyle name="20% – rõhk2 7 2" xfId="108"/>
    <cellStyle name="20% – rõhk2 8" xfId="109"/>
    <cellStyle name="20% – rõhk2 8 2" xfId="110"/>
    <cellStyle name="20% – rõhk2 9" xfId="111"/>
    <cellStyle name="20% – rõhk3 10" xfId="112"/>
    <cellStyle name="20% – rõhk3 2" xfId="113"/>
    <cellStyle name="20% – rõhk3 2 2" xfId="114"/>
    <cellStyle name="20% – rõhk3 2 2 2" xfId="115"/>
    <cellStyle name="20% – rõhk3 2 3" xfId="116"/>
    <cellStyle name="20% – rõhk3 3" xfId="117"/>
    <cellStyle name="20% – rõhk3 3 2" xfId="118"/>
    <cellStyle name="20% – rõhk3 4" xfId="119"/>
    <cellStyle name="20% – rõhk3 4 2" xfId="120"/>
    <cellStyle name="20% – rõhk3 5" xfId="121"/>
    <cellStyle name="20% – rõhk3 5 2" xfId="122"/>
    <cellStyle name="20% – rõhk3 6" xfId="123"/>
    <cellStyle name="20% – rõhk3 6 2" xfId="124"/>
    <cellStyle name="20% – rõhk3 7" xfId="125"/>
    <cellStyle name="20% – rõhk3 7 2" xfId="126"/>
    <cellStyle name="20% – rõhk3 8" xfId="127"/>
    <cellStyle name="20% – rõhk3 8 2" xfId="128"/>
    <cellStyle name="20% – rõhk3 9" xfId="129"/>
    <cellStyle name="20% – rõhk4 10" xfId="130"/>
    <cellStyle name="20% – rõhk4 2" xfId="131"/>
    <cellStyle name="20% – rõhk4 2 2" xfId="132"/>
    <cellStyle name="20% – rõhk4 2 2 2" xfId="133"/>
    <cellStyle name="20% – rõhk4 2 3" xfId="134"/>
    <cellStyle name="20% – rõhk4 3" xfId="135"/>
    <cellStyle name="20% – rõhk4 3 2" xfId="136"/>
    <cellStyle name="20% – rõhk4 4" xfId="137"/>
    <cellStyle name="20% – rõhk4 4 2" xfId="138"/>
    <cellStyle name="20% – rõhk4 5" xfId="139"/>
    <cellStyle name="20% – rõhk4 5 2" xfId="140"/>
    <cellStyle name="20% – rõhk4 6" xfId="141"/>
    <cellStyle name="20% – rõhk4 6 2" xfId="142"/>
    <cellStyle name="20% – rõhk4 7" xfId="143"/>
    <cellStyle name="20% – rõhk4 7 2" xfId="144"/>
    <cellStyle name="20% – rõhk4 8" xfId="145"/>
    <cellStyle name="20% – rõhk4 8 2" xfId="146"/>
    <cellStyle name="20% – rõhk4 9" xfId="147"/>
    <cellStyle name="20% – rõhk5 10" xfId="148"/>
    <cellStyle name="20% – rõhk5 2" xfId="149"/>
    <cellStyle name="20% – rõhk5 2 2" xfId="150"/>
    <cellStyle name="20% – rõhk5 2 2 2" xfId="151"/>
    <cellStyle name="20% – rõhk5 2 3" xfId="152"/>
    <cellStyle name="20% – rõhk5 3" xfId="153"/>
    <cellStyle name="20% – rõhk5 3 2" xfId="154"/>
    <cellStyle name="20% – rõhk5 4" xfId="155"/>
    <cellStyle name="20% – rõhk5 4 2" xfId="156"/>
    <cellStyle name="20% – rõhk5 5" xfId="157"/>
    <cellStyle name="20% – rõhk5 5 2" xfId="158"/>
    <cellStyle name="20% – rõhk5 6" xfId="159"/>
    <cellStyle name="20% – rõhk5 6 2" xfId="160"/>
    <cellStyle name="20% – rõhk5 7" xfId="161"/>
    <cellStyle name="20% – rõhk5 7 2" xfId="162"/>
    <cellStyle name="20% – rõhk5 8" xfId="163"/>
    <cellStyle name="20% – rõhk5 8 2" xfId="164"/>
    <cellStyle name="20% – rõhk5 9" xfId="165"/>
    <cellStyle name="20% – rõhk6 10" xfId="166"/>
    <cellStyle name="20% – rõhk6 2" xfId="167"/>
    <cellStyle name="20% – rõhk6 2 2" xfId="168"/>
    <cellStyle name="20% – rõhk6 2 2 2" xfId="169"/>
    <cellStyle name="20% – rõhk6 2 3" xfId="170"/>
    <cellStyle name="20% – rõhk6 3" xfId="171"/>
    <cellStyle name="20% – rõhk6 3 2" xfId="172"/>
    <cellStyle name="20% – rõhk6 4" xfId="173"/>
    <cellStyle name="20% – rõhk6 4 2" xfId="174"/>
    <cellStyle name="20% – rõhk6 5" xfId="175"/>
    <cellStyle name="20% – rõhk6 5 2" xfId="176"/>
    <cellStyle name="20% – rõhk6 6" xfId="177"/>
    <cellStyle name="20% – rõhk6 6 2" xfId="178"/>
    <cellStyle name="20% – rõhk6 7" xfId="179"/>
    <cellStyle name="20% – rõhk6 7 2" xfId="180"/>
    <cellStyle name="20% – rõhk6 8" xfId="181"/>
    <cellStyle name="20% – rõhk6 8 2" xfId="182"/>
    <cellStyle name="20% – rõhk6 9" xfId="183"/>
    <cellStyle name="20% - Акцент1" xfId="184"/>
    <cellStyle name="20% - Акцент1 2" xfId="185"/>
    <cellStyle name="20% - Акцент1 3" xfId="186"/>
    <cellStyle name="20% - Акцент1 4" xfId="187"/>
    <cellStyle name="20% - Акцент1 5" xfId="188"/>
    <cellStyle name="20% - Акцент1 6" xfId="189"/>
    <cellStyle name="20% - Акцент2" xfId="190"/>
    <cellStyle name="20% - Акцент2 2" xfId="191"/>
    <cellStyle name="20% - Акцент2 3" xfId="192"/>
    <cellStyle name="20% - Акцент2 4" xfId="193"/>
    <cellStyle name="20% - Акцент2 5" xfId="194"/>
    <cellStyle name="20% - Акцент2 6" xfId="195"/>
    <cellStyle name="20% - Акцент3" xfId="196"/>
    <cellStyle name="20% - Акцент3 2" xfId="197"/>
    <cellStyle name="20% - Акцент3 3" xfId="198"/>
    <cellStyle name="20% - Акцент3 4" xfId="199"/>
    <cellStyle name="20% - Акцент3 5" xfId="200"/>
    <cellStyle name="20% - Акцент3 6" xfId="201"/>
    <cellStyle name="20% - Акцент4" xfId="202"/>
    <cellStyle name="20% - Акцент4 2" xfId="203"/>
    <cellStyle name="20% - Акцент4 3" xfId="204"/>
    <cellStyle name="20% - Акцент4 4" xfId="205"/>
    <cellStyle name="20% - Акцент4 5" xfId="206"/>
    <cellStyle name="20% - Акцент4 6" xfId="207"/>
    <cellStyle name="20% - Акцент5" xfId="208"/>
    <cellStyle name="20% - Акцент5 2" xfId="209"/>
    <cellStyle name="20% - Акцент5 3" xfId="210"/>
    <cellStyle name="20% - Акцент5 4" xfId="211"/>
    <cellStyle name="20% - Акцент5 5" xfId="212"/>
    <cellStyle name="20% - Акцент5 6" xfId="213"/>
    <cellStyle name="20% - Акцент6" xfId="214"/>
    <cellStyle name="20% - Акцент6 2" xfId="215"/>
    <cellStyle name="20% - Акцент6 3" xfId="216"/>
    <cellStyle name="20% - Акцент6 4" xfId="217"/>
    <cellStyle name="20% - Акцент6 5" xfId="218"/>
    <cellStyle name="20% - Акцент6 6" xfId="219"/>
    <cellStyle name="40% - Accent1 2" xfId="220"/>
    <cellStyle name="40% - Accent1 2 2" xfId="221"/>
    <cellStyle name="40% - Accent1 2 3" xfId="222"/>
    <cellStyle name="40% - Accent1 2 4" xfId="223"/>
    <cellStyle name="40% - Accent1 2 5" xfId="224"/>
    <cellStyle name="40% - Accent1 2 6" xfId="225"/>
    <cellStyle name="40% - Accent1 3" xfId="226"/>
    <cellStyle name="40% - Accent1 3 2" xfId="227"/>
    <cellStyle name="40% - Accent1 3 3" xfId="228"/>
    <cellStyle name="40% - Accent1 3 4" xfId="229"/>
    <cellStyle name="40% - Accent1 3 5" xfId="230"/>
    <cellStyle name="40% - Accent1 3 6" xfId="231"/>
    <cellStyle name="40% - Accent2 2" xfId="232"/>
    <cellStyle name="40% - Accent2 2 2" xfId="233"/>
    <cellStyle name="40% - Accent2 2 3" xfId="234"/>
    <cellStyle name="40% - Accent2 2 4" xfId="235"/>
    <cellStyle name="40% - Accent2 2 5" xfId="236"/>
    <cellStyle name="40% - Accent2 2 6" xfId="237"/>
    <cellStyle name="40% - Accent2 3" xfId="238"/>
    <cellStyle name="40% - Accent2 3 2" xfId="239"/>
    <cellStyle name="40% - Accent2 3 3" xfId="240"/>
    <cellStyle name="40% - Accent2 3 4" xfId="241"/>
    <cellStyle name="40% - Accent2 3 5" xfId="242"/>
    <cellStyle name="40% - Accent2 3 6" xfId="243"/>
    <cellStyle name="40% - Accent3 2" xfId="244"/>
    <cellStyle name="40% - Accent3 2 2" xfId="245"/>
    <cellStyle name="40% - Accent3 2 3" xfId="246"/>
    <cellStyle name="40% - Accent3 2 4" xfId="247"/>
    <cellStyle name="40% - Accent3 2 5" xfId="248"/>
    <cellStyle name="40% - Accent3 2 6" xfId="249"/>
    <cellStyle name="40% - Accent3 3" xfId="250"/>
    <cellStyle name="40% - Accent3 3 2" xfId="251"/>
    <cellStyle name="40% - Accent3 3 3" xfId="252"/>
    <cellStyle name="40% - Accent3 3 4" xfId="253"/>
    <cellStyle name="40% - Accent3 3 5" xfId="254"/>
    <cellStyle name="40% - Accent3 3 6" xfId="255"/>
    <cellStyle name="40% - Accent4 2" xfId="256"/>
    <cellStyle name="40% - Accent4 2 2" xfId="257"/>
    <cellStyle name="40% - Accent4 2 3" xfId="258"/>
    <cellStyle name="40% - Accent4 2 4" xfId="259"/>
    <cellStyle name="40% - Accent4 2 5" xfId="260"/>
    <cellStyle name="40% - Accent4 2 6" xfId="261"/>
    <cellStyle name="40% - Accent4 3" xfId="262"/>
    <cellStyle name="40% - Accent4 3 2" xfId="263"/>
    <cellStyle name="40% - Accent4 3 3" xfId="264"/>
    <cellStyle name="40% - Accent4 3 4" xfId="265"/>
    <cellStyle name="40% - Accent4 3 5" xfId="266"/>
    <cellStyle name="40% - Accent4 3 6" xfId="267"/>
    <cellStyle name="40% - Accent5 2" xfId="268"/>
    <cellStyle name="40% - Accent5 2 2" xfId="269"/>
    <cellStyle name="40% - Accent5 2 3" xfId="270"/>
    <cellStyle name="40% - Accent5 2 4" xfId="271"/>
    <cellStyle name="40% - Accent5 2 5" xfId="272"/>
    <cellStyle name="40% - Accent5 2 6" xfId="273"/>
    <cellStyle name="40% - Accent5 3" xfId="274"/>
    <cellStyle name="40% - Accent5 3 2" xfId="275"/>
    <cellStyle name="40% - Accent5 3 3" xfId="276"/>
    <cellStyle name="40% - Accent5 3 4" xfId="277"/>
    <cellStyle name="40% - Accent5 3 5" xfId="278"/>
    <cellStyle name="40% - Accent5 3 6" xfId="279"/>
    <cellStyle name="40% - Accent6 2" xfId="280"/>
    <cellStyle name="40% - Accent6 2 2" xfId="281"/>
    <cellStyle name="40% - Accent6 2 3" xfId="282"/>
    <cellStyle name="40% - Accent6 2 4" xfId="283"/>
    <cellStyle name="40% - Accent6 2 5" xfId="284"/>
    <cellStyle name="40% - Accent6 2 6" xfId="285"/>
    <cellStyle name="40% - Accent6 3" xfId="286"/>
    <cellStyle name="40% - Accent6 3 2" xfId="287"/>
    <cellStyle name="40% - Accent6 3 3" xfId="288"/>
    <cellStyle name="40% - Accent6 3 4" xfId="289"/>
    <cellStyle name="40% - Accent6 3 5" xfId="290"/>
    <cellStyle name="40% - Accent6 3 6" xfId="291"/>
    <cellStyle name="40% – rõhk1 10" xfId="292"/>
    <cellStyle name="40% – rõhk1 2" xfId="293"/>
    <cellStyle name="40% – rõhk1 2 2" xfId="294"/>
    <cellStyle name="40% – rõhk1 2 2 2" xfId="295"/>
    <cellStyle name="40% – rõhk1 2 3" xfId="296"/>
    <cellStyle name="40% – rõhk1 3" xfId="297"/>
    <cellStyle name="40% – rõhk1 3 2" xfId="298"/>
    <cellStyle name="40% – rõhk1 4" xfId="299"/>
    <cellStyle name="40% – rõhk1 4 2" xfId="300"/>
    <cellStyle name="40% – rõhk1 5" xfId="301"/>
    <cellStyle name="40% – rõhk1 5 2" xfId="302"/>
    <cellStyle name="40% – rõhk1 6" xfId="303"/>
    <cellStyle name="40% – rõhk1 6 2" xfId="304"/>
    <cellStyle name="40% – rõhk1 7" xfId="305"/>
    <cellStyle name="40% – rõhk1 7 2" xfId="306"/>
    <cellStyle name="40% – rõhk1 8" xfId="307"/>
    <cellStyle name="40% – rõhk1 8 2" xfId="308"/>
    <cellStyle name="40% – rõhk1 9" xfId="309"/>
    <cellStyle name="40% – rõhk2 10" xfId="310"/>
    <cellStyle name="40% – rõhk2 2" xfId="311"/>
    <cellStyle name="40% – rõhk2 2 2" xfId="312"/>
    <cellStyle name="40% – rõhk2 2 2 2" xfId="313"/>
    <cellStyle name="40% – rõhk2 2 3" xfId="314"/>
    <cellStyle name="40% – rõhk2 3" xfId="315"/>
    <cellStyle name="40% – rõhk2 3 2" xfId="316"/>
    <cellStyle name="40% – rõhk2 4" xfId="317"/>
    <cellStyle name="40% – rõhk2 4 2" xfId="318"/>
    <cellStyle name="40% – rõhk2 5" xfId="319"/>
    <cellStyle name="40% – rõhk2 5 2" xfId="320"/>
    <cellStyle name="40% – rõhk2 6" xfId="321"/>
    <cellStyle name="40% – rõhk2 6 2" xfId="322"/>
    <cellStyle name="40% – rõhk2 7" xfId="323"/>
    <cellStyle name="40% – rõhk2 7 2" xfId="324"/>
    <cellStyle name="40% – rõhk2 8" xfId="325"/>
    <cellStyle name="40% – rõhk2 8 2" xfId="326"/>
    <cellStyle name="40% – rõhk2 9" xfId="327"/>
    <cellStyle name="40% – rõhk3 10" xfId="328"/>
    <cellStyle name="40% – rõhk3 2" xfId="329"/>
    <cellStyle name="40% – rõhk3 2 2" xfId="330"/>
    <cellStyle name="40% – rõhk3 2 2 2" xfId="331"/>
    <cellStyle name="40% – rõhk3 2 3" xfId="332"/>
    <cellStyle name="40% – rõhk3 3" xfId="333"/>
    <cellStyle name="40% – rõhk3 3 2" xfId="334"/>
    <cellStyle name="40% – rõhk3 4" xfId="335"/>
    <cellStyle name="40% – rõhk3 4 2" xfId="336"/>
    <cellStyle name="40% – rõhk3 5" xfId="337"/>
    <cellStyle name="40% – rõhk3 5 2" xfId="338"/>
    <cellStyle name="40% – rõhk3 6" xfId="339"/>
    <cellStyle name="40% – rõhk3 6 2" xfId="340"/>
    <cellStyle name="40% – rõhk3 7" xfId="341"/>
    <cellStyle name="40% – rõhk3 7 2" xfId="342"/>
    <cellStyle name="40% – rõhk3 8" xfId="343"/>
    <cellStyle name="40% – rõhk3 8 2" xfId="344"/>
    <cellStyle name="40% – rõhk3 9" xfId="345"/>
    <cellStyle name="40% – rõhk4 10" xfId="346"/>
    <cellStyle name="40% – rõhk4 2" xfId="347"/>
    <cellStyle name="40% – rõhk4 2 2" xfId="348"/>
    <cellStyle name="40% – rõhk4 2 2 2" xfId="349"/>
    <cellStyle name="40% – rõhk4 2 3" xfId="350"/>
    <cellStyle name="40% – rõhk4 3" xfId="351"/>
    <cellStyle name="40% – rõhk4 3 2" xfId="352"/>
    <cellStyle name="40% – rõhk4 4" xfId="353"/>
    <cellStyle name="40% – rõhk4 4 2" xfId="354"/>
    <cellStyle name="40% – rõhk4 5" xfId="355"/>
    <cellStyle name="40% – rõhk4 5 2" xfId="356"/>
    <cellStyle name="40% – rõhk4 6" xfId="357"/>
    <cellStyle name="40% – rõhk4 6 2" xfId="358"/>
    <cellStyle name="40% – rõhk4 7" xfId="359"/>
    <cellStyle name="40% – rõhk4 7 2" xfId="360"/>
    <cellStyle name="40% – rõhk4 8" xfId="361"/>
    <cellStyle name="40% – rõhk4 8 2" xfId="362"/>
    <cellStyle name="40% – rõhk4 9" xfId="363"/>
    <cellStyle name="40% – rõhk5 10" xfId="364"/>
    <cellStyle name="40% – rõhk5 2" xfId="365"/>
    <cellStyle name="40% – rõhk5 2 2" xfId="366"/>
    <cellStyle name="40% – rõhk5 2 2 2" xfId="367"/>
    <cellStyle name="40% – rõhk5 2 3" xfId="368"/>
    <cellStyle name="40% – rõhk5 3" xfId="369"/>
    <cellStyle name="40% – rõhk5 3 2" xfId="370"/>
    <cellStyle name="40% – rõhk5 4" xfId="371"/>
    <cellStyle name="40% – rõhk5 4 2" xfId="372"/>
    <cellStyle name="40% – rõhk5 5" xfId="373"/>
    <cellStyle name="40% – rõhk5 5 2" xfId="374"/>
    <cellStyle name="40% – rõhk5 6" xfId="375"/>
    <cellStyle name="40% – rõhk5 6 2" xfId="376"/>
    <cellStyle name="40% – rõhk5 7" xfId="377"/>
    <cellStyle name="40% – rõhk5 7 2" xfId="378"/>
    <cellStyle name="40% – rõhk5 8" xfId="379"/>
    <cellStyle name="40% – rõhk5 8 2" xfId="380"/>
    <cellStyle name="40% – rõhk5 9" xfId="381"/>
    <cellStyle name="40% – rõhk6 10" xfId="382"/>
    <cellStyle name="40% – rõhk6 2" xfId="383"/>
    <cellStyle name="40% – rõhk6 2 2" xfId="384"/>
    <cellStyle name="40% – rõhk6 2 2 2" xfId="385"/>
    <cellStyle name="40% – rõhk6 2 3" xfId="386"/>
    <cellStyle name="40% – rõhk6 3" xfId="387"/>
    <cellStyle name="40% – rõhk6 3 2" xfId="388"/>
    <cellStyle name="40% – rõhk6 4" xfId="389"/>
    <cellStyle name="40% – rõhk6 4 2" xfId="390"/>
    <cellStyle name="40% – rõhk6 5" xfId="391"/>
    <cellStyle name="40% – rõhk6 5 2" xfId="392"/>
    <cellStyle name="40% – rõhk6 6" xfId="393"/>
    <cellStyle name="40% – rõhk6 6 2" xfId="394"/>
    <cellStyle name="40% – rõhk6 7" xfId="395"/>
    <cellStyle name="40% – rõhk6 7 2" xfId="396"/>
    <cellStyle name="40% – rõhk6 8" xfId="397"/>
    <cellStyle name="40% – rõhk6 8 2" xfId="398"/>
    <cellStyle name="40% – rõhk6 9" xfId="399"/>
    <cellStyle name="40% - Акцент1" xfId="400"/>
    <cellStyle name="40% - Акцент1 2" xfId="401"/>
    <cellStyle name="40% - Акцент1 3" xfId="402"/>
    <cellStyle name="40% - Акцент1 4" xfId="403"/>
    <cellStyle name="40% - Акцент1 5" xfId="404"/>
    <cellStyle name="40% - Акцент1 6" xfId="405"/>
    <cellStyle name="40% - Акцент2" xfId="406"/>
    <cellStyle name="40% - Акцент2 2" xfId="407"/>
    <cellStyle name="40% - Акцент2 3" xfId="408"/>
    <cellStyle name="40% - Акцент2 4" xfId="409"/>
    <cellStyle name="40% - Акцент2 5" xfId="410"/>
    <cellStyle name="40% - Акцент2 6" xfId="411"/>
    <cellStyle name="40% - Акцент3" xfId="412"/>
    <cellStyle name="40% - Акцент3 2" xfId="413"/>
    <cellStyle name="40% - Акцент3 3" xfId="414"/>
    <cellStyle name="40% - Акцент3 4" xfId="415"/>
    <cellStyle name="40% - Акцент3 5" xfId="416"/>
    <cellStyle name="40% - Акцент3 6" xfId="417"/>
    <cellStyle name="40% - Акцент4" xfId="418"/>
    <cellStyle name="40% - Акцент4 2" xfId="419"/>
    <cellStyle name="40% - Акцент4 3" xfId="420"/>
    <cellStyle name="40% - Акцент4 4" xfId="421"/>
    <cellStyle name="40% - Акцент4 5" xfId="422"/>
    <cellStyle name="40% - Акцент4 6" xfId="423"/>
    <cellStyle name="40% - Акцент5" xfId="424"/>
    <cellStyle name="40% - Акцент5 2" xfId="425"/>
    <cellStyle name="40% - Акцент5 3" xfId="426"/>
    <cellStyle name="40% - Акцент5 4" xfId="427"/>
    <cellStyle name="40% - Акцент5 5" xfId="428"/>
    <cellStyle name="40% - Акцент5 6" xfId="429"/>
    <cellStyle name="40% - Акцент6" xfId="430"/>
    <cellStyle name="40% - Акцент6 2" xfId="431"/>
    <cellStyle name="40% - Акцент6 3" xfId="432"/>
    <cellStyle name="40% - Акцент6 4" xfId="433"/>
    <cellStyle name="40% - Акцент6 5" xfId="434"/>
    <cellStyle name="40% - Акцент6 6" xfId="435"/>
    <cellStyle name="60% - Accent1 2" xfId="436"/>
    <cellStyle name="60% - Accent1 3" xfId="437"/>
    <cellStyle name="60% - Accent2 2" xfId="438"/>
    <cellStyle name="60% - Accent2 3" xfId="439"/>
    <cellStyle name="60% - Accent3 2" xfId="440"/>
    <cellStyle name="60% - Accent3 3" xfId="441"/>
    <cellStyle name="60% - Accent4 2" xfId="442"/>
    <cellStyle name="60% - Accent4 3" xfId="443"/>
    <cellStyle name="60% - Accent5 2" xfId="444"/>
    <cellStyle name="60% - Accent5 3" xfId="445"/>
    <cellStyle name="60% - Accent6 2" xfId="446"/>
    <cellStyle name="60% - Accent6 3" xfId="447"/>
    <cellStyle name="60% - Акцент1" xfId="448"/>
    <cellStyle name="60% - Акцент2" xfId="449"/>
    <cellStyle name="60% - Акцент3" xfId="450"/>
    <cellStyle name="60% - Акцент4" xfId="451"/>
    <cellStyle name="60% - Акцент5" xfId="452"/>
    <cellStyle name="60% - Акцент6" xfId="453"/>
    <cellStyle name="Accent1 2" xfId="454"/>
    <cellStyle name="Accent1 3" xfId="455"/>
    <cellStyle name="Accent2 2" xfId="456"/>
    <cellStyle name="Accent2 3" xfId="457"/>
    <cellStyle name="Accent3 2" xfId="458"/>
    <cellStyle name="Accent3 3" xfId="459"/>
    <cellStyle name="Accent4 2" xfId="460"/>
    <cellStyle name="Accent4 3" xfId="461"/>
    <cellStyle name="Accent5 2" xfId="462"/>
    <cellStyle name="Accent5 3" xfId="463"/>
    <cellStyle name="Accent6 2" xfId="464"/>
    <cellStyle name="Accent6 3" xfId="465"/>
    <cellStyle name="Bad 2" xfId="466"/>
    <cellStyle name="Bad 3" xfId="467"/>
    <cellStyle name="Calculation 2" xfId="468"/>
    <cellStyle name="Calculation 3" xfId="469"/>
    <cellStyle name="Check Cell 2" xfId="470"/>
    <cellStyle name="Check Cell 3" xfId="471"/>
    <cellStyle name="Comma 2" xfId="472"/>
    <cellStyle name="Comma 2 2" xfId="473"/>
    <cellStyle name="Comma 2 2 2" xfId="474"/>
    <cellStyle name="Comma 2 3" xfId="475"/>
    <cellStyle name="Comma 2 4" xfId="476"/>
    <cellStyle name="Comma 2 5" xfId="477"/>
    <cellStyle name="Comma 2 6" xfId="478"/>
    <cellStyle name="Comma 3" xfId="479"/>
    <cellStyle name="Comma 3 2" xfId="480"/>
    <cellStyle name="Explanatory Text 2" xfId="481"/>
    <cellStyle name="Explanatory Text 3" xfId="482"/>
    <cellStyle name="Good 2" xfId="483"/>
    <cellStyle name="Good 3" xfId="484"/>
    <cellStyle name="Heading 1 2" xfId="485"/>
    <cellStyle name="Heading 1 3" xfId="486"/>
    <cellStyle name="Heading 2 2" xfId="487"/>
    <cellStyle name="Heading 2 3" xfId="488"/>
    <cellStyle name="Heading 3 2" xfId="489"/>
    <cellStyle name="Heading 3 3" xfId="490"/>
    <cellStyle name="Heading 4 2" xfId="491"/>
    <cellStyle name="Heading 4 3" xfId="492"/>
    <cellStyle name="Hoiatustekst" xfId="493"/>
    <cellStyle name="Input 2" xfId="494"/>
    <cellStyle name="Input 3" xfId="495"/>
    <cellStyle name="Linked Cell 2" xfId="496"/>
    <cellStyle name="Linked Cell 3" xfId="497"/>
    <cellStyle name="Märkus 2" xfId="498"/>
    <cellStyle name="Märkus 2 2" xfId="499"/>
    <cellStyle name="Märkus 2 2 2" xfId="500"/>
    <cellStyle name="Märkus 2 3" xfId="501"/>
    <cellStyle name="Märkus 3" xfId="502"/>
    <cellStyle name="Märkus 3 2" xfId="503"/>
    <cellStyle name="Märkus 3 2 2" xfId="504"/>
    <cellStyle name="Märkus 3 3" xfId="505"/>
    <cellStyle name="Märkus 4" xfId="506"/>
    <cellStyle name="Märkus 4 2" xfId="507"/>
    <cellStyle name="Märkus 5" xfId="508"/>
    <cellStyle name="Märkus 5 2" xfId="509"/>
    <cellStyle name="Märkus 6" xfId="510"/>
    <cellStyle name="Märkus 6 2" xfId="511"/>
    <cellStyle name="Märkus 7" xfId="512"/>
    <cellStyle name="Märkus 7 2" xfId="513"/>
    <cellStyle name="Märkus 8" xfId="514"/>
    <cellStyle name="Märkus 8 2" xfId="515"/>
    <cellStyle name="Märkus 9" xfId="516"/>
    <cellStyle name="Neutral 2" xfId="517"/>
    <cellStyle name="Neutral 3" xfId="518"/>
    <cellStyle name="Normaallaad 10" xfId="519"/>
    <cellStyle name="Normaallaad 10 2" xfId="520"/>
    <cellStyle name="Normaallaad 11" xfId="521"/>
    <cellStyle name="Normaallaad 2" xfId="2"/>
    <cellStyle name="Normaallaad 2 2" xfId="522"/>
    <cellStyle name="Normaallaad 2 2 2" xfId="523"/>
    <cellStyle name="Normaallaad 2 3" xfId="524"/>
    <cellStyle name="Normaallaad 3" xfId="525"/>
    <cellStyle name="Normaallaad 3 2" xfId="526"/>
    <cellStyle name="Normaallaad 3 2 2" xfId="527"/>
    <cellStyle name="Normaallaad 3 3" xfId="528"/>
    <cellStyle name="Normaallaad 4" xfId="529"/>
    <cellStyle name="Normaallaad 4 2" xfId="530"/>
    <cellStyle name="Normaallaad 4 2 2" xfId="531"/>
    <cellStyle name="Normaallaad 4 3" xfId="532"/>
    <cellStyle name="Normaallaad 5" xfId="533"/>
    <cellStyle name="Normaallaad 5 2" xfId="534"/>
    <cellStyle name="Normaallaad 6" xfId="535"/>
    <cellStyle name="Normaallaad 6 2" xfId="536"/>
    <cellStyle name="Normaallaad 7" xfId="537"/>
    <cellStyle name="Normaallaad 7 2" xfId="538"/>
    <cellStyle name="Normaallaad 8" xfId="539"/>
    <cellStyle name="Normaallaad 8 2" xfId="540"/>
    <cellStyle name="Normaallaad 9" xfId="541"/>
    <cellStyle name="Normaallaad 9 2" xfId="542"/>
    <cellStyle name="Normal" xfId="0" builtinId="0"/>
    <cellStyle name="Normal 2" xfId="1"/>
    <cellStyle name="Normal 2 10" xfId="543"/>
    <cellStyle name="Normal 2 11" xfId="544"/>
    <cellStyle name="Normal 2 2" xfId="545"/>
    <cellStyle name="Normal 2 2 2" xfId="546"/>
    <cellStyle name="Normal 2 2 2 2" xfId="547"/>
    <cellStyle name="Normal 2 2 3" xfId="548"/>
    <cellStyle name="Normal 2 2 4" xfId="549"/>
    <cellStyle name="Normal 2 3" xfId="550"/>
    <cellStyle name="Normal 2 3 2" xfId="551"/>
    <cellStyle name="Normal 2 3 3" xfId="552"/>
    <cellStyle name="Normal 2 4" xfId="553"/>
    <cellStyle name="Normal 2 4 2" xfId="554"/>
    <cellStyle name="Normal 2 4 3" xfId="555"/>
    <cellStyle name="Normal 2 5" xfId="556"/>
    <cellStyle name="Normal 2 6" xfId="557"/>
    <cellStyle name="Normal 2 7" xfId="558"/>
    <cellStyle name="Normal 2 8" xfId="559"/>
    <cellStyle name="Normal 2 9" xfId="560"/>
    <cellStyle name="Normal 21" xfId="561"/>
    <cellStyle name="Normal 3" xfId="562"/>
    <cellStyle name="Normal 3 2" xfId="563"/>
    <cellStyle name="Normal 3 2 2" xfId="564"/>
    <cellStyle name="Normal 3 2 3" xfId="565"/>
    <cellStyle name="Normal 3 3" xfId="566"/>
    <cellStyle name="Normal 3 3 2" xfId="567"/>
    <cellStyle name="Normal 3 3 3" xfId="568"/>
    <cellStyle name="Normal 3 4" xfId="569"/>
    <cellStyle name="Normal 3 4 2" xfId="570"/>
    <cellStyle name="Normal 4" xfId="571"/>
    <cellStyle name="Normal 4 2" xfId="572"/>
    <cellStyle name="Normal 4 3" xfId="573"/>
    <cellStyle name="Normal 4 4" xfId="574"/>
    <cellStyle name="Normal 5" xfId="575"/>
    <cellStyle name="Normal 6" xfId="576"/>
    <cellStyle name="Normal 6 2" xfId="577"/>
    <cellStyle name="Normal 6 3" xfId="578"/>
    <cellStyle name="Normal 6 4" xfId="579"/>
    <cellStyle name="Normal 7" xfId="580"/>
    <cellStyle name="Normal 8" xfId="581"/>
    <cellStyle name="Normal_Sheet1 2" xfId="3"/>
    <cellStyle name="Note 2" xfId="582"/>
    <cellStyle name="Note 3" xfId="583"/>
    <cellStyle name="Output 2" xfId="584"/>
    <cellStyle name="Output 3" xfId="585"/>
    <cellStyle name="Percent 2" xfId="586"/>
    <cellStyle name="Percent 2 2" xfId="587"/>
    <cellStyle name="Percent 2 3" xfId="588"/>
    <cellStyle name="Percent 2 4" xfId="589"/>
    <cellStyle name="Percent 2 5" xfId="590"/>
    <cellStyle name="Percent 2 6" xfId="591"/>
    <cellStyle name="Percent 3" xfId="592"/>
    <cellStyle name="Percent 3 2" xfId="593"/>
    <cellStyle name="Percent 3 3" xfId="594"/>
    <cellStyle name="Percent 3 4" xfId="595"/>
    <cellStyle name="Percent 4 2" xfId="596"/>
    <cellStyle name="Percent 4 3" xfId="597"/>
    <cellStyle name="Percent 4 4" xfId="598"/>
    <cellStyle name="Protsent 2" xfId="628"/>
    <cellStyle name="Title 2" xfId="599"/>
    <cellStyle name="Title 3" xfId="600"/>
    <cellStyle name="Total 2" xfId="601"/>
    <cellStyle name="Total 3" xfId="602"/>
    <cellStyle name="Warning Text 2" xfId="603"/>
    <cellStyle name="Warning Text 3" xfId="604"/>
    <cellStyle name="Акцент1" xfId="605"/>
    <cellStyle name="Акцент2" xfId="606"/>
    <cellStyle name="Акцент3" xfId="607"/>
    <cellStyle name="Акцент4" xfId="608"/>
    <cellStyle name="Акцент5" xfId="609"/>
    <cellStyle name="Акцент6" xfId="610"/>
    <cellStyle name="Ввод " xfId="611"/>
    <cellStyle name="Вывод" xfId="612"/>
    <cellStyle name="Вычисление" xfId="613"/>
    <cellStyle name="Заголовок 1" xfId="614"/>
    <cellStyle name="Заголовок 2" xfId="615"/>
    <cellStyle name="Заголовок 3" xfId="616"/>
    <cellStyle name="Заголовок 4" xfId="617"/>
    <cellStyle name="Итог" xfId="618"/>
    <cellStyle name="Контрольная ячейка" xfId="619"/>
    <cellStyle name="Название" xfId="620"/>
    <cellStyle name="Нейтральный" xfId="621"/>
    <cellStyle name="Плохой" xfId="622"/>
    <cellStyle name="Пояснение" xfId="623"/>
    <cellStyle name="Примечание" xfId="624"/>
    <cellStyle name="Связанная ячейка" xfId="625"/>
    <cellStyle name="Текст предупреждения" xfId="626"/>
    <cellStyle name="Хороший" xfId="627"/>
  </cellStyles>
  <dxfs count="0"/>
  <tableStyles count="0" defaultTableStyle="TableStyleMedium2" defaultPivotStyle="PivotStyleLight16"/>
  <colors>
    <mruColors>
      <color rgb="FFEFEC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4"/>
  <sheetViews>
    <sheetView tabSelected="1" zoomScaleNormal="100" workbookViewId="0">
      <selection activeCell="E17" sqref="E17"/>
    </sheetView>
  </sheetViews>
  <sheetFormatPr defaultRowHeight="12.75" x14ac:dyDescent="0.2"/>
  <cols>
    <col min="1" max="2" width="9.140625" style="95"/>
    <col min="3" max="3" width="36.140625" style="95" bestFit="1" customWidth="1"/>
    <col min="4" max="4" width="11.5703125" style="95" customWidth="1"/>
    <col min="5" max="5" width="14.140625" style="95" customWidth="1"/>
    <col min="6" max="6" width="9.42578125" style="95" customWidth="1"/>
    <col min="7" max="7" width="11" style="95" customWidth="1"/>
    <col min="8" max="8" width="10" style="95" customWidth="1"/>
    <col min="9" max="9" width="9.140625" style="95"/>
    <col min="10" max="10" width="11.7109375" style="95" bestFit="1" customWidth="1"/>
    <col min="11" max="11" width="12" style="95" bestFit="1" customWidth="1"/>
    <col min="12" max="16384" width="9.140625" style="95"/>
  </cols>
  <sheetData>
    <row r="1" spans="1:12" ht="15" thickBot="1" x14ac:dyDescent="0.25">
      <c r="A1" s="1" t="s">
        <v>29</v>
      </c>
      <c r="B1" s="2"/>
      <c r="C1" s="3"/>
      <c r="D1" s="4"/>
      <c r="E1" s="4"/>
      <c r="F1" s="5"/>
      <c r="G1" s="6"/>
      <c r="H1" s="5"/>
      <c r="I1" s="5"/>
    </row>
    <row r="2" spans="1:12" ht="16.5" customHeight="1" thickBot="1" x14ac:dyDescent="0.25">
      <c r="A2" s="187" t="s">
        <v>30</v>
      </c>
      <c r="B2" s="188"/>
      <c r="C2" s="188"/>
      <c r="D2" s="186" t="s">
        <v>120</v>
      </c>
      <c r="E2" s="186"/>
      <c r="F2" s="186"/>
      <c r="G2" s="110" t="s">
        <v>121</v>
      </c>
      <c r="H2" s="109"/>
      <c r="I2" s="109"/>
    </row>
    <row r="3" spans="1:12" x14ac:dyDescent="0.2">
      <c r="A3" s="111"/>
      <c r="B3" s="112" t="s">
        <v>31</v>
      </c>
      <c r="C3" s="113">
        <v>43465</v>
      </c>
      <c r="D3" s="189" t="s">
        <v>32</v>
      </c>
      <c r="E3" s="189" t="s">
        <v>33</v>
      </c>
      <c r="F3" s="191" t="s">
        <v>34</v>
      </c>
      <c r="G3" s="43">
        <v>2017</v>
      </c>
      <c r="H3" s="182" t="s">
        <v>35</v>
      </c>
      <c r="I3" s="183"/>
    </row>
    <row r="4" spans="1:12" ht="13.5" thickBot="1" x14ac:dyDescent="0.25">
      <c r="A4" s="114" t="s">
        <v>36</v>
      </c>
      <c r="B4" s="115"/>
      <c r="C4" s="116" t="s">
        <v>37</v>
      </c>
      <c r="D4" s="190"/>
      <c r="E4" s="190"/>
      <c r="F4" s="192"/>
      <c r="G4" s="117" t="s">
        <v>38</v>
      </c>
      <c r="H4" s="117" t="s">
        <v>28</v>
      </c>
      <c r="I4" s="118" t="s">
        <v>34</v>
      </c>
    </row>
    <row r="5" spans="1:12" x14ac:dyDescent="0.2">
      <c r="A5" s="57"/>
      <c r="B5" s="57" t="s">
        <v>39</v>
      </c>
      <c r="C5" s="58"/>
      <c r="D5" s="59">
        <f>D6+D12+D13+D17</f>
        <v>150847228</v>
      </c>
      <c r="E5" s="59">
        <f>E6+E12+E13+E17</f>
        <v>155894333.56999999</v>
      </c>
      <c r="F5" s="60">
        <f t="shared" ref="F5:F53" si="0">E5/D5</f>
        <v>1.0334583912274475</v>
      </c>
      <c r="G5" s="59">
        <f>G6+G12+G13+G17</f>
        <v>137412846</v>
      </c>
      <c r="H5" s="59">
        <f>E5-G5</f>
        <v>18481487.569999993</v>
      </c>
      <c r="I5" s="60">
        <f>H5/G5</f>
        <v>0.13449606865721997</v>
      </c>
      <c r="K5" s="96"/>
    </row>
    <row r="6" spans="1:12" x14ac:dyDescent="0.2">
      <c r="A6" s="61">
        <v>30</v>
      </c>
      <c r="B6" s="61" t="s">
        <v>40</v>
      </c>
      <c r="C6" s="62"/>
      <c r="D6" s="63">
        <f>SUM(D7:D11)</f>
        <v>80486000</v>
      </c>
      <c r="E6" s="63">
        <f>SUM(E7:E11)</f>
        <v>84624592.319999993</v>
      </c>
      <c r="F6" s="64">
        <f t="shared" si="0"/>
        <v>1.0514200273339462</v>
      </c>
      <c r="G6" s="63">
        <f>SUM(G7:G11)</f>
        <v>73479838</v>
      </c>
      <c r="H6" s="63">
        <f>E6-G6</f>
        <v>11144754.319999993</v>
      </c>
      <c r="I6" s="64">
        <f t="shared" ref="I6:I51" si="1">H6/G6</f>
        <v>0.15167091576875813</v>
      </c>
    </row>
    <row r="7" spans="1:12" x14ac:dyDescent="0.2">
      <c r="A7" s="7">
        <v>3000</v>
      </c>
      <c r="B7" s="7"/>
      <c r="C7" s="13" t="s">
        <v>41</v>
      </c>
      <c r="D7" s="8">
        <v>78336000</v>
      </c>
      <c r="E7" s="8">
        <v>82331952.909999996</v>
      </c>
      <c r="F7" s="65">
        <f t="shared" si="0"/>
        <v>1.0510104282832924</v>
      </c>
      <c r="G7" s="8">
        <f>69261691+2035680</f>
        <v>71297371</v>
      </c>
      <c r="H7" s="8">
        <f t="shared" ref="H7:H51" si="2">E7-G7</f>
        <v>11034581.909999996</v>
      </c>
      <c r="I7" s="65">
        <f>H7/G7</f>
        <v>0.15476842631406418</v>
      </c>
      <c r="J7" s="96"/>
    </row>
    <row r="8" spans="1:12" x14ac:dyDescent="0.2">
      <c r="A8" s="7">
        <v>3030</v>
      </c>
      <c r="B8" s="7"/>
      <c r="C8" s="13" t="s">
        <v>42</v>
      </c>
      <c r="D8" s="8">
        <v>727000</v>
      </c>
      <c r="E8" s="8">
        <v>739165.62</v>
      </c>
      <c r="F8" s="65">
        <f t="shared" si="0"/>
        <v>1.0167340027510317</v>
      </c>
      <c r="G8" s="8">
        <f>63499+711898</f>
        <v>775397</v>
      </c>
      <c r="H8" s="8">
        <f t="shared" si="2"/>
        <v>-36231.380000000005</v>
      </c>
      <c r="I8" s="65">
        <f t="shared" si="1"/>
        <v>-4.672623185284442E-2</v>
      </c>
      <c r="J8" s="96"/>
    </row>
    <row r="9" spans="1:12" x14ac:dyDescent="0.2">
      <c r="A9" s="7">
        <v>3044</v>
      </c>
      <c r="B9" s="7"/>
      <c r="C9" s="13" t="s">
        <v>43</v>
      </c>
      <c r="D9" s="8">
        <v>448000</v>
      </c>
      <c r="E9" s="8">
        <v>432591.08</v>
      </c>
      <c r="F9" s="65">
        <f t="shared" si="0"/>
        <v>0.96560508928571431</v>
      </c>
      <c r="G9" s="8">
        <v>417705</v>
      </c>
      <c r="H9" s="8">
        <f t="shared" si="2"/>
        <v>14886.080000000016</v>
      </c>
      <c r="I9" s="65">
        <f t="shared" si="1"/>
        <v>3.5637782645647084E-2</v>
      </c>
      <c r="J9" s="96"/>
      <c r="L9" s="96"/>
    </row>
    <row r="10" spans="1:12" x14ac:dyDescent="0.2">
      <c r="A10" s="7">
        <v>3045</v>
      </c>
      <c r="B10" s="7"/>
      <c r="C10" s="13" t="s">
        <v>44</v>
      </c>
      <c r="D10" s="8">
        <v>150000</v>
      </c>
      <c r="E10" s="8">
        <v>207541.19</v>
      </c>
      <c r="F10" s="65">
        <f t="shared" si="0"/>
        <v>1.3836079333333333</v>
      </c>
      <c r="G10" s="8">
        <v>118365</v>
      </c>
      <c r="H10" s="8">
        <f t="shared" si="2"/>
        <v>89176.19</v>
      </c>
      <c r="I10" s="65">
        <f t="shared" si="1"/>
        <v>0.75339999155155668</v>
      </c>
      <c r="J10" s="96"/>
    </row>
    <row r="11" spans="1:12" x14ac:dyDescent="0.2">
      <c r="A11" s="7">
        <v>3047</v>
      </c>
      <c r="B11" s="7"/>
      <c r="C11" s="14" t="s">
        <v>45</v>
      </c>
      <c r="D11" s="8">
        <v>825000</v>
      </c>
      <c r="E11" s="8">
        <v>913341.52</v>
      </c>
      <c r="F11" s="65">
        <f t="shared" si="0"/>
        <v>1.1070806303030303</v>
      </c>
      <c r="G11" s="8">
        <v>871000</v>
      </c>
      <c r="H11" s="8">
        <f t="shared" si="2"/>
        <v>42341.520000000019</v>
      </c>
      <c r="I11" s="65">
        <f t="shared" si="1"/>
        <v>4.861253731343286E-2</v>
      </c>
      <c r="J11" s="96"/>
    </row>
    <row r="12" spans="1:12" x14ac:dyDescent="0.2">
      <c r="A12" s="66">
        <v>32</v>
      </c>
      <c r="B12" s="66" t="s">
        <v>46</v>
      </c>
      <c r="C12" s="62"/>
      <c r="D12" s="63">
        <v>16258323</v>
      </c>
      <c r="E12" s="63">
        <v>16789329.810000002</v>
      </c>
      <c r="F12" s="64">
        <f t="shared" si="0"/>
        <v>1.0326606138898828</v>
      </c>
      <c r="G12" s="63">
        <f>17937787+147844</f>
        <v>18085631</v>
      </c>
      <c r="H12" s="63">
        <f t="shared" si="2"/>
        <v>-1296301.1899999976</v>
      </c>
      <c r="I12" s="64">
        <f t="shared" si="1"/>
        <v>-7.1675751318823089E-2</v>
      </c>
      <c r="J12" s="96"/>
    </row>
    <row r="13" spans="1:12" x14ac:dyDescent="0.2">
      <c r="A13" s="66" t="s">
        <v>47</v>
      </c>
      <c r="B13" s="66" t="s">
        <v>48</v>
      </c>
      <c r="C13" s="62"/>
      <c r="D13" s="63">
        <f>SUM(D14:D16)</f>
        <v>53340027</v>
      </c>
      <c r="E13" s="63">
        <f>SUM(E14:E16)</f>
        <v>53785213</v>
      </c>
      <c r="F13" s="64">
        <f t="shared" si="0"/>
        <v>1.0083461900009911</v>
      </c>
      <c r="G13" s="63">
        <f>SUM(G14:G16)</f>
        <v>40716047</v>
      </c>
      <c r="H13" s="63">
        <f t="shared" si="2"/>
        <v>13069166</v>
      </c>
      <c r="I13" s="64">
        <f t="shared" si="1"/>
        <v>0.32098317402963994</v>
      </c>
      <c r="J13" s="96"/>
    </row>
    <row r="14" spans="1:12" x14ac:dyDescent="0.2">
      <c r="A14" s="7">
        <v>35200</v>
      </c>
      <c r="B14" s="7"/>
      <c r="C14" s="13" t="s">
        <v>49</v>
      </c>
      <c r="D14" s="8">
        <v>6139437</v>
      </c>
      <c r="E14" s="8">
        <v>6139437</v>
      </c>
      <c r="F14" s="65">
        <f t="shared" si="0"/>
        <v>1</v>
      </c>
      <c r="G14" s="8">
        <v>4228369</v>
      </c>
      <c r="H14" s="8">
        <f t="shared" si="2"/>
        <v>1911068</v>
      </c>
      <c r="I14" s="65">
        <f t="shared" si="1"/>
        <v>0.45196339297729221</v>
      </c>
      <c r="J14" s="96"/>
    </row>
    <row r="15" spans="1:12" x14ac:dyDescent="0.2">
      <c r="A15" s="7">
        <v>35201</v>
      </c>
      <c r="B15" s="7"/>
      <c r="C15" s="14" t="s">
        <v>50</v>
      </c>
      <c r="D15" s="8">
        <v>34353101</v>
      </c>
      <c r="E15" s="8">
        <v>34354340</v>
      </c>
      <c r="F15" s="65">
        <f t="shared" si="0"/>
        <v>1.0000360666130257</v>
      </c>
      <c r="G15" s="8">
        <f>24122993+497437</f>
        <v>24620430</v>
      </c>
      <c r="H15" s="8">
        <f t="shared" si="2"/>
        <v>9733910</v>
      </c>
      <c r="I15" s="65">
        <f t="shared" si="1"/>
        <v>0.3953590574981834</v>
      </c>
      <c r="J15" s="96"/>
    </row>
    <row r="16" spans="1:12" x14ac:dyDescent="0.2">
      <c r="A16" s="7" t="s">
        <v>242</v>
      </c>
      <c r="B16" s="7"/>
      <c r="C16" s="14" t="s">
        <v>51</v>
      </c>
      <c r="D16" s="8">
        <v>12847489</v>
      </c>
      <c r="E16" s="8">
        <v>13291436</v>
      </c>
      <c r="F16" s="65">
        <f t="shared" si="0"/>
        <v>1.0345551570427498</v>
      </c>
      <c r="G16" s="8">
        <f>88028+11779220</f>
        <v>11867248</v>
      </c>
      <c r="H16" s="8">
        <f t="shared" si="2"/>
        <v>1424188</v>
      </c>
      <c r="I16" s="65">
        <f t="shared" si="1"/>
        <v>0.12000996355684149</v>
      </c>
      <c r="J16" s="96"/>
    </row>
    <row r="17" spans="1:10" x14ac:dyDescent="0.2">
      <c r="A17" s="66" t="s">
        <v>52</v>
      </c>
      <c r="B17" s="66" t="s">
        <v>53</v>
      </c>
      <c r="C17" s="62"/>
      <c r="D17" s="63">
        <f>SUM(D18:D22)</f>
        <v>762878</v>
      </c>
      <c r="E17" s="63">
        <f>SUM(E18:E22)</f>
        <v>695198.44</v>
      </c>
      <c r="F17" s="64">
        <f>E17/D17</f>
        <v>0.91128390122667047</v>
      </c>
      <c r="G17" s="63">
        <f>SUM(G18:G22)</f>
        <v>5131330</v>
      </c>
      <c r="H17" s="63">
        <f t="shared" si="2"/>
        <v>-4436131.5600000005</v>
      </c>
      <c r="I17" s="64">
        <f t="shared" si="1"/>
        <v>-0.86451885963288277</v>
      </c>
      <c r="J17" s="96"/>
    </row>
    <row r="18" spans="1:10" x14ac:dyDescent="0.2">
      <c r="A18" s="67">
        <v>3823</v>
      </c>
      <c r="B18" s="52"/>
      <c r="C18" s="13" t="s">
        <v>243</v>
      </c>
      <c r="D18" s="8">
        <v>5000</v>
      </c>
      <c r="E18" s="44">
        <v>10048.049999999999</v>
      </c>
      <c r="F18" s="65">
        <f t="shared" si="0"/>
        <v>2.0096099999999999</v>
      </c>
      <c r="G18" s="44">
        <v>7489</v>
      </c>
      <c r="H18" s="8">
        <f t="shared" si="2"/>
        <v>2559.0499999999993</v>
      </c>
      <c r="I18" s="65">
        <f t="shared" si="1"/>
        <v>0.34170783816263844</v>
      </c>
      <c r="J18" s="96"/>
    </row>
    <row r="19" spans="1:10" x14ac:dyDescent="0.2">
      <c r="A19" s="7">
        <v>3825</v>
      </c>
      <c r="B19" s="7"/>
      <c r="C19" s="13" t="s">
        <v>54</v>
      </c>
      <c r="D19" s="8">
        <v>194000</v>
      </c>
      <c r="E19" s="44">
        <v>198894.39</v>
      </c>
      <c r="F19" s="65">
        <f t="shared" si="0"/>
        <v>1.0252288144329897</v>
      </c>
      <c r="G19" s="44">
        <f>5419+184691</f>
        <v>190110</v>
      </c>
      <c r="H19" s="8">
        <f t="shared" si="2"/>
        <v>8784.390000000014</v>
      </c>
      <c r="I19" s="65">
        <f t="shared" si="1"/>
        <v>4.6206880227236936E-2</v>
      </c>
      <c r="J19" s="96"/>
    </row>
    <row r="20" spans="1:10" x14ac:dyDescent="0.2">
      <c r="A20" s="67">
        <v>3880</v>
      </c>
      <c r="B20" s="7"/>
      <c r="C20" s="13" t="s">
        <v>244</v>
      </c>
      <c r="D20" s="8">
        <v>502280</v>
      </c>
      <c r="E20" s="44">
        <v>402768</v>
      </c>
      <c r="F20" s="65">
        <f t="shared" si="0"/>
        <v>0.80187942980011151</v>
      </c>
      <c r="G20" s="44">
        <v>424290</v>
      </c>
      <c r="H20" s="8">
        <f t="shared" si="2"/>
        <v>-21522</v>
      </c>
      <c r="I20" s="65">
        <f t="shared" si="1"/>
        <v>-5.0724740154139858E-2</v>
      </c>
      <c r="J20" s="96"/>
    </row>
    <row r="21" spans="1:10" x14ac:dyDescent="0.2">
      <c r="A21" s="7">
        <v>3882</v>
      </c>
      <c r="B21" s="7"/>
      <c r="C21" s="13" t="s">
        <v>55</v>
      </c>
      <c r="D21" s="8">
        <v>0</v>
      </c>
      <c r="E21" s="44">
        <v>0</v>
      </c>
      <c r="F21" s="80" t="s">
        <v>74</v>
      </c>
      <c r="G21" s="44">
        <v>0</v>
      </c>
      <c r="H21" s="8">
        <f t="shared" si="2"/>
        <v>0</v>
      </c>
      <c r="I21" s="80" t="s">
        <v>74</v>
      </c>
      <c r="J21" s="96"/>
    </row>
    <row r="22" spans="1:10" x14ac:dyDescent="0.2">
      <c r="A22" s="7">
        <v>3888</v>
      </c>
      <c r="B22" s="7"/>
      <c r="C22" s="13" t="s">
        <v>56</v>
      </c>
      <c r="D22" s="8">
        <v>61598</v>
      </c>
      <c r="E22" s="44">
        <v>83488</v>
      </c>
      <c r="F22" s="65">
        <f t="shared" si="0"/>
        <v>1.3553686808013248</v>
      </c>
      <c r="G22" s="44">
        <v>4509441</v>
      </c>
      <c r="H22" s="44">
        <f t="shared" si="2"/>
        <v>-4425953</v>
      </c>
      <c r="I22" s="68">
        <f t="shared" si="1"/>
        <v>-0.98148595358049917</v>
      </c>
      <c r="J22" s="96"/>
    </row>
    <row r="23" spans="1:10" x14ac:dyDescent="0.2">
      <c r="A23" s="57"/>
      <c r="B23" s="57" t="s">
        <v>57</v>
      </c>
      <c r="C23" s="58"/>
      <c r="D23" s="59">
        <f>D24+D25</f>
        <v>-143231271</v>
      </c>
      <c r="E23" s="59">
        <f>E24+E25</f>
        <v>-138649820.62</v>
      </c>
      <c r="F23" s="69">
        <f>E23/D23</f>
        <v>0.96801361638409256</v>
      </c>
      <c r="G23" s="59">
        <f>G24+G25</f>
        <v>-123485720</v>
      </c>
      <c r="H23" s="59">
        <f>SUM(H24:H25)</f>
        <v>-15164100.620000005</v>
      </c>
      <c r="I23" s="69">
        <f t="shared" si="1"/>
        <v>0.12280043894954011</v>
      </c>
      <c r="J23" s="96"/>
    </row>
    <row r="24" spans="1:10" x14ac:dyDescent="0.2">
      <c r="A24" s="66" t="s">
        <v>58</v>
      </c>
      <c r="B24" s="66" t="s">
        <v>59</v>
      </c>
      <c r="C24" s="62"/>
      <c r="D24" s="63">
        <v>-18238511</v>
      </c>
      <c r="E24" s="63">
        <v>-17429678</v>
      </c>
      <c r="F24" s="70">
        <f t="shared" si="0"/>
        <v>0.95565246526977998</v>
      </c>
      <c r="G24" s="63">
        <f>-15767347-67958</f>
        <v>-15835305</v>
      </c>
      <c r="H24" s="63">
        <f>E24-G24</f>
        <v>-1594373</v>
      </c>
      <c r="I24" s="70">
        <f t="shared" si="1"/>
        <v>0.10068470420999154</v>
      </c>
      <c r="J24" s="96"/>
    </row>
    <row r="25" spans="1:10" x14ac:dyDescent="0.2">
      <c r="A25" s="66"/>
      <c r="B25" s="66" t="s">
        <v>60</v>
      </c>
      <c r="C25" s="62"/>
      <c r="D25" s="63">
        <f>SUM(D26:D29)-D27</f>
        <v>-124992760</v>
      </c>
      <c r="E25" s="63">
        <f>SUM(E26:E29)-E27</f>
        <v>-121220142.62</v>
      </c>
      <c r="F25" s="70">
        <f t="shared" si="0"/>
        <v>0.96981731277875616</v>
      </c>
      <c r="G25" s="63">
        <f>SUM(G26:G29)-G27</f>
        <v>-107650415</v>
      </c>
      <c r="H25" s="63">
        <f>SUM(H28:H29,H26)</f>
        <v>-13569727.620000005</v>
      </c>
      <c r="I25" s="70">
        <f t="shared" si="1"/>
        <v>0.12605364893391266</v>
      </c>
      <c r="J25" s="96"/>
    </row>
    <row r="26" spans="1:10" x14ac:dyDescent="0.2">
      <c r="A26" s="7">
        <v>50</v>
      </c>
      <c r="B26" s="7"/>
      <c r="C26" s="13" t="s">
        <v>61</v>
      </c>
      <c r="D26" s="8">
        <v>-72067961</v>
      </c>
      <c r="E26" s="8">
        <v>-70962105.620000005</v>
      </c>
      <c r="F26" s="65">
        <f t="shared" si="0"/>
        <v>0.98465538132818831</v>
      </c>
      <c r="G26" s="8">
        <f>-60027191-1568285</f>
        <v>-61595476</v>
      </c>
      <c r="H26" s="8">
        <f t="shared" si="2"/>
        <v>-9366629.6200000048</v>
      </c>
      <c r="I26" s="65">
        <f t="shared" si="1"/>
        <v>0.15206684367533754</v>
      </c>
      <c r="J26" s="96"/>
    </row>
    <row r="27" spans="1:10" s="97" customFormat="1" x14ac:dyDescent="0.2">
      <c r="A27" s="53">
        <v>500</v>
      </c>
      <c r="B27" s="53"/>
      <c r="C27" s="15" t="s">
        <v>245</v>
      </c>
      <c r="D27" s="45">
        <v>-53746781</v>
      </c>
      <c r="E27" s="45">
        <v>-52940790.210000008</v>
      </c>
      <c r="F27" s="71">
        <f t="shared" si="0"/>
        <v>0.98500392442107387</v>
      </c>
      <c r="G27" s="45">
        <f>-44730778-1180738</f>
        <v>-45911516</v>
      </c>
      <c r="H27" s="45">
        <f t="shared" si="2"/>
        <v>-7029274.2100000083</v>
      </c>
      <c r="I27" s="107">
        <f t="shared" si="1"/>
        <v>0.15310481601173895</v>
      </c>
      <c r="J27" s="98"/>
    </row>
    <row r="28" spans="1:10" x14ac:dyDescent="0.2">
      <c r="A28" s="7">
        <v>55</v>
      </c>
      <c r="B28" s="7"/>
      <c r="C28" s="13" t="s">
        <v>62</v>
      </c>
      <c r="D28" s="8">
        <v>-52024812</v>
      </c>
      <c r="E28" s="8">
        <v>-49457577</v>
      </c>
      <c r="F28" s="65">
        <f t="shared" si="0"/>
        <v>0.95065364195837943</v>
      </c>
      <c r="G28" s="8">
        <f>-44901977-920177</f>
        <v>-45822154</v>
      </c>
      <c r="H28" s="8">
        <f t="shared" si="2"/>
        <v>-3635423</v>
      </c>
      <c r="I28" s="65">
        <f t="shared" si="1"/>
        <v>7.9337671467823181E-2</v>
      </c>
      <c r="J28" s="96"/>
    </row>
    <row r="29" spans="1:10" x14ac:dyDescent="0.2">
      <c r="A29" s="7">
        <v>60</v>
      </c>
      <c r="B29" s="7"/>
      <c r="C29" s="13" t="s">
        <v>63</v>
      </c>
      <c r="D29" s="8">
        <f>-226752-673235</f>
        <v>-899987</v>
      </c>
      <c r="E29" s="8">
        <f>-79737-720723</f>
        <v>-800460</v>
      </c>
      <c r="F29" s="65">
        <f t="shared" si="0"/>
        <v>0.88941284707445778</v>
      </c>
      <c r="G29" s="8">
        <f>-232644-141</f>
        <v>-232785</v>
      </c>
      <c r="H29" s="46">
        <f t="shared" si="2"/>
        <v>-567675</v>
      </c>
      <c r="I29" s="72">
        <f t="shared" si="1"/>
        <v>2.4386236226560989</v>
      </c>
      <c r="J29" s="96"/>
    </row>
    <row r="30" spans="1:10" x14ac:dyDescent="0.2">
      <c r="A30" s="73"/>
      <c r="B30" s="73" t="s">
        <v>64</v>
      </c>
      <c r="C30" s="74"/>
      <c r="D30" s="75">
        <f>D5+D23</f>
        <v>7615957</v>
      </c>
      <c r="E30" s="75">
        <f>E5+E23</f>
        <v>17244512.949999988</v>
      </c>
      <c r="F30" s="76">
        <f t="shared" si="0"/>
        <v>2.2642608079326063</v>
      </c>
      <c r="G30" s="75">
        <f>G5+G23</f>
        <v>13927126</v>
      </c>
      <c r="H30" s="75">
        <f>H5+H23</f>
        <v>3317386.9499999881</v>
      </c>
      <c r="I30" s="76">
        <f t="shared" si="1"/>
        <v>0.23819608941571924</v>
      </c>
      <c r="J30" s="96"/>
    </row>
    <row r="31" spans="1:10" x14ac:dyDescent="0.2">
      <c r="A31" s="77"/>
      <c r="B31" s="77" t="s">
        <v>65</v>
      </c>
      <c r="C31" s="78"/>
      <c r="D31" s="47">
        <f>SUM(D34:D41)</f>
        <v>-21369856</v>
      </c>
      <c r="E31" s="47">
        <f>SUM(E34:E41)</f>
        <v>-19305303.489999998</v>
      </c>
      <c r="F31" s="69">
        <f t="shared" si="0"/>
        <v>0.90338949827270709</v>
      </c>
      <c r="G31" s="47">
        <f>G32+G33</f>
        <v>-17850873</v>
      </c>
      <c r="H31" s="47">
        <f>SUM(H32:H33)</f>
        <v>-1454430.4900000002</v>
      </c>
      <c r="I31" s="69">
        <f t="shared" si="1"/>
        <v>8.147671489231928E-2</v>
      </c>
      <c r="J31" s="96"/>
    </row>
    <row r="32" spans="1:10" x14ac:dyDescent="0.2">
      <c r="A32" s="53"/>
      <c r="B32" s="9" t="s">
        <v>66</v>
      </c>
      <c r="C32" s="15"/>
      <c r="D32" s="45">
        <f>D34+D36+D38+D40</f>
        <v>14349521</v>
      </c>
      <c r="E32" s="45">
        <f>E34+E36+E38+E40</f>
        <v>9642703.9600000009</v>
      </c>
      <c r="F32" s="71">
        <f t="shared" si="0"/>
        <v>0.6719878635670139</v>
      </c>
      <c r="G32" s="45">
        <f>SUM(G34,G36,G38,G40)</f>
        <v>14761492</v>
      </c>
      <c r="H32" s="45">
        <f>SUM(H34,H36,H38,H40)</f>
        <v>-5118788.04</v>
      </c>
      <c r="I32" s="71">
        <f t="shared" si="1"/>
        <v>-0.34676630519462398</v>
      </c>
      <c r="J32" s="96"/>
    </row>
    <row r="33" spans="1:10" x14ac:dyDescent="0.2">
      <c r="A33" s="53"/>
      <c r="B33" s="9" t="s">
        <v>67</v>
      </c>
      <c r="C33" s="15"/>
      <c r="D33" s="45">
        <f>D35+D37+D41</f>
        <v>-35719377</v>
      </c>
      <c r="E33" s="45">
        <f>E35+E37+E39+E41</f>
        <v>-28948007.449999999</v>
      </c>
      <c r="F33" s="71">
        <f t="shared" si="0"/>
        <v>0.81042867712950306</v>
      </c>
      <c r="G33" s="45">
        <f>SUM(G35,G37,G39,G41)</f>
        <v>-32612365</v>
      </c>
      <c r="H33" s="45">
        <f>SUM(H35,H37,H39,H41)</f>
        <v>3664357.55</v>
      </c>
      <c r="I33" s="71">
        <f t="shared" si="1"/>
        <v>-0.11236098792589866</v>
      </c>
      <c r="J33" s="96"/>
    </row>
    <row r="34" spans="1:10" x14ac:dyDescent="0.2">
      <c r="A34" s="7">
        <v>381</v>
      </c>
      <c r="B34" s="7"/>
      <c r="C34" s="13" t="s">
        <v>68</v>
      </c>
      <c r="D34" s="8">
        <v>2109378</v>
      </c>
      <c r="E34" s="8">
        <v>1544424</v>
      </c>
      <c r="F34" s="65">
        <f t="shared" si="0"/>
        <v>0.73217033646885477</v>
      </c>
      <c r="G34" s="8">
        <f>18001+2182909</f>
        <v>2200910</v>
      </c>
      <c r="H34" s="8">
        <f t="shared" si="2"/>
        <v>-656486</v>
      </c>
      <c r="I34" s="65">
        <f t="shared" si="1"/>
        <v>-0.2982793480878364</v>
      </c>
      <c r="J34" s="96"/>
    </row>
    <row r="35" spans="1:10" x14ac:dyDescent="0.2">
      <c r="A35" s="7">
        <v>15</v>
      </c>
      <c r="B35" s="7"/>
      <c r="C35" s="13" t="s">
        <v>69</v>
      </c>
      <c r="D35" s="8">
        <v>-32413841</v>
      </c>
      <c r="E35" s="8">
        <v>-26266422</v>
      </c>
      <c r="F35" s="65">
        <f t="shared" si="0"/>
        <v>0.81034586428680266</v>
      </c>
      <c r="G35" s="8">
        <f>-29373945-1664245</f>
        <v>-31038190</v>
      </c>
      <c r="H35" s="8">
        <f t="shared" si="2"/>
        <v>4771768</v>
      </c>
      <c r="I35" s="65">
        <f t="shared" si="1"/>
        <v>-0.15373860395854269</v>
      </c>
      <c r="J35" s="96"/>
    </row>
    <row r="36" spans="1:10" x14ac:dyDescent="0.2">
      <c r="A36" s="7">
        <v>3502</v>
      </c>
      <c r="B36" s="7"/>
      <c r="C36" s="13" t="s">
        <v>70</v>
      </c>
      <c r="D36" s="8">
        <v>11731143</v>
      </c>
      <c r="E36" s="8">
        <v>7595938</v>
      </c>
      <c r="F36" s="65">
        <f t="shared" si="0"/>
        <v>0.64750195270827404</v>
      </c>
      <c r="G36" s="8">
        <f>757816+11441397</f>
        <v>12199213</v>
      </c>
      <c r="H36" s="8">
        <f t="shared" si="2"/>
        <v>-4603275</v>
      </c>
      <c r="I36" s="65">
        <f t="shared" si="1"/>
        <v>-0.37734196460050334</v>
      </c>
      <c r="J36" s="96"/>
    </row>
    <row r="37" spans="1:10" x14ac:dyDescent="0.2">
      <c r="A37" s="7">
        <v>4502</v>
      </c>
      <c r="B37" s="7"/>
      <c r="C37" s="13" t="s">
        <v>71</v>
      </c>
      <c r="D37" s="8">
        <v>-2531645</v>
      </c>
      <c r="E37" s="8">
        <v>-2173978</v>
      </c>
      <c r="F37" s="65">
        <f t="shared" si="0"/>
        <v>0.8587215032123382</v>
      </c>
      <c r="G37" s="8">
        <v>-1061715</v>
      </c>
      <c r="H37" s="8">
        <f t="shared" si="2"/>
        <v>-1112263</v>
      </c>
      <c r="I37" s="65">
        <f t="shared" si="1"/>
        <v>1.0476097634487598</v>
      </c>
      <c r="J37" s="96"/>
    </row>
    <row r="38" spans="1:10" hidden="1" x14ac:dyDescent="0.2">
      <c r="A38" s="79" t="s">
        <v>72</v>
      </c>
      <c r="B38" s="10"/>
      <c r="C38" s="13" t="s">
        <v>73</v>
      </c>
      <c r="D38" s="8">
        <v>0</v>
      </c>
      <c r="E38" s="8">
        <v>0</v>
      </c>
      <c r="F38" s="80" t="s">
        <v>74</v>
      </c>
      <c r="G38" s="8">
        <v>0</v>
      </c>
      <c r="H38" s="8">
        <f t="shared" si="2"/>
        <v>0</v>
      </c>
      <c r="I38" s="80" t="s">
        <v>74</v>
      </c>
      <c r="J38" s="96"/>
    </row>
    <row r="39" spans="1:10" hidden="1" x14ac:dyDescent="0.2">
      <c r="A39" s="79" t="s">
        <v>75</v>
      </c>
      <c r="B39" s="10"/>
      <c r="C39" s="13" t="s">
        <v>76</v>
      </c>
      <c r="D39" s="8">
        <v>0</v>
      </c>
      <c r="E39" s="8">
        <v>0</v>
      </c>
      <c r="F39" s="80" t="s">
        <v>74</v>
      </c>
      <c r="G39" s="8">
        <v>0</v>
      </c>
      <c r="H39" s="8">
        <f t="shared" si="2"/>
        <v>0</v>
      </c>
      <c r="I39" s="80" t="s">
        <v>74</v>
      </c>
      <c r="J39" s="96"/>
    </row>
    <row r="40" spans="1:10" x14ac:dyDescent="0.2">
      <c r="A40" s="10">
        <v>382</v>
      </c>
      <c r="B40" s="10"/>
      <c r="C40" s="13" t="s">
        <v>77</v>
      </c>
      <c r="D40" s="8">
        <v>509000</v>
      </c>
      <c r="E40" s="8">
        <v>502341.96</v>
      </c>
      <c r="F40" s="65">
        <f t="shared" si="0"/>
        <v>0.98691937131630647</v>
      </c>
      <c r="G40" s="8">
        <f>361350+19</f>
        <v>361369</v>
      </c>
      <c r="H40" s="8">
        <f t="shared" si="2"/>
        <v>140972.96000000002</v>
      </c>
      <c r="I40" s="65">
        <f t="shared" si="1"/>
        <v>0.39010806128915326</v>
      </c>
      <c r="J40" s="96"/>
    </row>
    <row r="41" spans="1:10" x14ac:dyDescent="0.2">
      <c r="A41" s="7">
        <v>65</v>
      </c>
      <c r="B41" s="7"/>
      <c r="C41" s="13" t="s">
        <v>78</v>
      </c>
      <c r="D41" s="8">
        <v>-773891</v>
      </c>
      <c r="E41" s="8">
        <v>-507607.45</v>
      </c>
      <c r="F41" s="65">
        <f t="shared" si="0"/>
        <v>0.65591594940372744</v>
      </c>
      <c r="G41" s="8">
        <f>-495998-16462</f>
        <v>-512460</v>
      </c>
      <c r="H41" s="46">
        <f t="shared" si="2"/>
        <v>4852.5499999999884</v>
      </c>
      <c r="I41" s="72">
        <f t="shared" si="1"/>
        <v>-9.4691292978963983E-3</v>
      </c>
      <c r="J41" s="96"/>
    </row>
    <row r="42" spans="1:10" x14ac:dyDescent="0.2">
      <c r="A42" s="81"/>
      <c r="B42" s="82" t="s">
        <v>79</v>
      </c>
      <c r="C42" s="83"/>
      <c r="D42" s="75">
        <f>D30+D31</f>
        <v>-13753899</v>
      </c>
      <c r="E42" s="75">
        <f>E30+E31</f>
        <v>-2060790.5400000103</v>
      </c>
      <c r="F42" s="76">
        <f t="shared" si="0"/>
        <v>0.14983318839261581</v>
      </c>
      <c r="G42" s="75">
        <f>G30+G31</f>
        <v>-3923747</v>
      </c>
      <c r="H42" s="75">
        <f>H30+H31</f>
        <v>1862956.4599999879</v>
      </c>
      <c r="I42" s="76">
        <f t="shared" si="1"/>
        <v>-0.47479015848880873</v>
      </c>
    </row>
    <row r="43" spans="1:10" x14ac:dyDescent="0.2">
      <c r="A43" s="84"/>
      <c r="B43" s="77" t="s">
        <v>80</v>
      </c>
      <c r="C43" s="78"/>
      <c r="D43" s="47">
        <f>D44+D48</f>
        <v>4955845</v>
      </c>
      <c r="E43" s="47">
        <f>E44+E48</f>
        <v>4975926.9399999995</v>
      </c>
      <c r="F43" s="69">
        <f t="shared" si="0"/>
        <v>1.0040521727374443</v>
      </c>
      <c r="G43" s="47">
        <f>G44+G48</f>
        <v>6696208</v>
      </c>
      <c r="H43" s="47">
        <f>E43-G43</f>
        <v>-1720281.0600000005</v>
      </c>
      <c r="I43" s="69">
        <f t="shared" si="1"/>
        <v>-0.25690376702754764</v>
      </c>
    </row>
    <row r="44" spans="1:10" x14ac:dyDescent="0.2">
      <c r="A44" s="79" t="s">
        <v>246</v>
      </c>
      <c r="B44" s="79"/>
      <c r="C44" s="67" t="s">
        <v>81</v>
      </c>
      <c r="D44" s="8">
        <f>SUM(D45:D47)</f>
        <v>14376000</v>
      </c>
      <c r="E44" s="8">
        <f>SUM(E45:E47)</f>
        <v>14370000</v>
      </c>
      <c r="F44" s="65">
        <f t="shared" si="0"/>
        <v>0.99958263772954925</v>
      </c>
      <c r="G44" s="8">
        <f>13490000+1150000</f>
        <v>14640000</v>
      </c>
      <c r="H44" s="8">
        <f t="shared" si="2"/>
        <v>-270000</v>
      </c>
      <c r="I44" s="80">
        <f>H44/G44</f>
        <v>-1.8442622950819672E-2</v>
      </c>
    </row>
    <row r="45" spans="1:10" x14ac:dyDescent="0.2">
      <c r="A45" s="54" t="s">
        <v>247</v>
      </c>
      <c r="B45" s="54"/>
      <c r="C45" s="55" t="s">
        <v>248</v>
      </c>
      <c r="D45" s="45">
        <v>14376000</v>
      </c>
      <c r="E45" s="45">
        <v>0</v>
      </c>
      <c r="F45" s="85">
        <f>E45/D45</f>
        <v>0</v>
      </c>
      <c r="G45" s="45">
        <v>14640000</v>
      </c>
      <c r="H45" s="45">
        <f t="shared" si="2"/>
        <v>-14640000</v>
      </c>
      <c r="I45" s="85">
        <f>H45/G45</f>
        <v>-1</v>
      </c>
    </row>
    <row r="46" spans="1:10" x14ac:dyDescent="0.2">
      <c r="A46" s="54" t="s">
        <v>249</v>
      </c>
      <c r="B46" s="54"/>
      <c r="C46" s="55" t="s">
        <v>250</v>
      </c>
      <c r="D46" s="45">
        <v>0</v>
      </c>
      <c r="E46" s="45">
        <v>14370000</v>
      </c>
      <c r="F46" s="85" t="s">
        <v>74</v>
      </c>
      <c r="G46" s="45">
        <v>0</v>
      </c>
      <c r="H46" s="45">
        <f t="shared" si="2"/>
        <v>14370000</v>
      </c>
      <c r="I46" s="85" t="s">
        <v>74</v>
      </c>
    </row>
    <row r="47" spans="1:10" x14ac:dyDescent="0.2">
      <c r="A47" s="54" t="s">
        <v>251</v>
      </c>
      <c r="B47" s="54"/>
      <c r="C47" s="55" t="s">
        <v>252</v>
      </c>
      <c r="D47" s="45">
        <v>0</v>
      </c>
      <c r="E47" s="45">
        <v>0</v>
      </c>
      <c r="F47" s="85" t="s">
        <v>74</v>
      </c>
      <c r="G47" s="45">
        <v>0</v>
      </c>
      <c r="H47" s="45">
        <f t="shared" si="2"/>
        <v>0</v>
      </c>
      <c r="I47" s="85" t="s">
        <v>74</v>
      </c>
    </row>
    <row r="48" spans="1:10" x14ac:dyDescent="0.2">
      <c r="A48" s="79" t="s">
        <v>253</v>
      </c>
      <c r="B48" s="79"/>
      <c r="C48" s="67" t="s">
        <v>82</v>
      </c>
      <c r="D48" s="8">
        <f>SUM(D49:D51)</f>
        <v>-9420155</v>
      </c>
      <c r="E48" s="8">
        <f>SUM(E49:E51)</f>
        <v>-9394073.0600000005</v>
      </c>
      <c r="F48" s="108">
        <f>E48/D48</f>
        <v>0.99723126211829849</v>
      </c>
      <c r="G48" s="8">
        <f>-7490946-452846</f>
        <v>-7943792</v>
      </c>
      <c r="H48" s="8">
        <f t="shared" si="2"/>
        <v>-1450281.0600000005</v>
      </c>
      <c r="I48" s="65">
        <f t="shared" si="1"/>
        <v>0.18256785424391783</v>
      </c>
    </row>
    <row r="49" spans="1:11" x14ac:dyDescent="0.2">
      <c r="A49" s="54" t="s">
        <v>254</v>
      </c>
      <c r="B49" s="54"/>
      <c r="C49" s="55" t="s">
        <v>255</v>
      </c>
      <c r="D49" s="45">
        <v>-5115970</v>
      </c>
      <c r="E49" s="45">
        <v>-5115635</v>
      </c>
      <c r="F49" s="85">
        <f>E49/D49</f>
        <v>0.99993451877161121</v>
      </c>
      <c r="G49" s="45">
        <v>-7159710</v>
      </c>
      <c r="H49" s="45">
        <f t="shared" si="2"/>
        <v>2044075</v>
      </c>
      <c r="I49" s="85">
        <f>H49/E49</f>
        <v>-0.39957405092427428</v>
      </c>
    </row>
    <row r="50" spans="1:11" x14ac:dyDescent="0.2">
      <c r="A50" s="54" t="s">
        <v>256</v>
      </c>
      <c r="B50" s="54"/>
      <c r="C50" s="55" t="s">
        <v>257</v>
      </c>
      <c r="D50" s="45">
        <v>-191665</v>
      </c>
      <c r="E50" s="45">
        <v>-193625.49</v>
      </c>
      <c r="F50" s="85">
        <f t="shared" ref="F50:F51" si="3">E50/D50</f>
        <v>1.0102287324237602</v>
      </c>
      <c r="G50" s="45">
        <v>0</v>
      </c>
      <c r="H50" s="45">
        <f t="shared" si="2"/>
        <v>-193625.49</v>
      </c>
      <c r="I50" s="85" t="s">
        <v>74</v>
      </c>
    </row>
    <row r="51" spans="1:11" x14ac:dyDescent="0.2">
      <c r="A51" s="54" t="s">
        <v>258</v>
      </c>
      <c r="B51" s="54"/>
      <c r="C51" s="55" t="s">
        <v>259</v>
      </c>
      <c r="D51" s="45">
        <v>-4112520</v>
      </c>
      <c r="E51" s="45">
        <v>-4084812.57</v>
      </c>
      <c r="F51" s="85">
        <f t="shared" si="3"/>
        <v>0.99326266376820049</v>
      </c>
      <c r="G51" s="45">
        <v>-331236</v>
      </c>
      <c r="H51" s="45">
        <f t="shared" si="2"/>
        <v>-3753576.57</v>
      </c>
      <c r="I51" s="71">
        <f t="shared" si="1"/>
        <v>11.33203084809622</v>
      </c>
    </row>
    <row r="52" spans="1:11" x14ac:dyDescent="0.2">
      <c r="A52" s="77">
        <v>1001</v>
      </c>
      <c r="B52" s="57" t="s">
        <v>260</v>
      </c>
      <c r="C52" s="86"/>
      <c r="D52" s="87">
        <f>D5+D23+D31+D43+D53</f>
        <v>-8169926</v>
      </c>
      <c r="E52" s="87">
        <f>E5+E23+E31+E43+E53</f>
        <v>2915136.3999999892</v>
      </c>
      <c r="F52" s="69">
        <f t="shared" si="0"/>
        <v>-0.35681307272550439</v>
      </c>
      <c r="G52" s="87">
        <f>G42+G43</f>
        <v>2772461</v>
      </c>
      <c r="H52" s="47">
        <f>E52-G52</f>
        <v>142675.3999999892</v>
      </c>
      <c r="I52" s="69"/>
      <c r="K52" s="96"/>
    </row>
    <row r="53" spans="1:11" x14ac:dyDescent="0.2">
      <c r="A53" s="77"/>
      <c r="B53" s="57" t="s">
        <v>261</v>
      </c>
      <c r="C53" s="86"/>
      <c r="D53" s="87">
        <v>628128</v>
      </c>
      <c r="E53" s="87">
        <v>0</v>
      </c>
      <c r="F53" s="69">
        <f t="shared" si="0"/>
        <v>0</v>
      </c>
      <c r="G53" s="87"/>
      <c r="H53" s="47"/>
      <c r="I53" s="69"/>
    </row>
    <row r="54" spans="1:11" x14ac:dyDescent="0.2">
      <c r="A54" s="10"/>
      <c r="B54" s="10"/>
      <c r="C54" s="88"/>
      <c r="D54" s="8"/>
      <c r="E54" s="8"/>
      <c r="F54" s="65"/>
      <c r="G54" s="89"/>
      <c r="H54" s="90"/>
      <c r="I54" s="91"/>
    </row>
    <row r="55" spans="1:11" x14ac:dyDescent="0.2">
      <c r="A55" s="92"/>
      <c r="B55" s="184" t="s">
        <v>262</v>
      </c>
      <c r="C55" s="185"/>
      <c r="D55" s="93">
        <f>SUM(D56:D64)</f>
        <v>143231271</v>
      </c>
      <c r="E55" s="48">
        <f>SUM(E56:E64)</f>
        <v>138649821.14000005</v>
      </c>
      <c r="F55" s="49">
        <f>E55/D55</f>
        <v>0.96801362001458502</v>
      </c>
      <c r="G55" s="172"/>
      <c r="H55" s="172"/>
      <c r="I55" s="173"/>
      <c r="J55" s="96"/>
    </row>
    <row r="56" spans="1:11" x14ac:dyDescent="0.2">
      <c r="A56" s="94" t="s">
        <v>83</v>
      </c>
      <c r="B56" s="11" t="s">
        <v>84</v>
      </c>
      <c r="C56" s="56"/>
      <c r="D56" s="12">
        <f>12254009-D66</f>
        <v>11061630</v>
      </c>
      <c r="E56" s="12">
        <f>11321159-E66</f>
        <v>10603896</v>
      </c>
      <c r="F56" s="16">
        <f t="shared" ref="F56:F63" si="4">E56/D56</f>
        <v>0.95861966093604645</v>
      </c>
      <c r="G56" s="174"/>
      <c r="H56" s="174"/>
      <c r="I56" s="175"/>
      <c r="J56" s="96"/>
    </row>
    <row r="57" spans="1:11" x14ac:dyDescent="0.2">
      <c r="A57" s="94" t="s">
        <v>85</v>
      </c>
      <c r="B57" s="11" t="s">
        <v>86</v>
      </c>
      <c r="C57" s="17"/>
      <c r="D57" s="12">
        <f>574596-D67</f>
        <v>574596</v>
      </c>
      <c r="E57" s="12">
        <f>565178-E67</f>
        <v>563554</v>
      </c>
      <c r="F57" s="16">
        <f t="shared" si="4"/>
        <v>0.98078301972168269</v>
      </c>
      <c r="G57" s="174"/>
      <c r="H57" s="174"/>
      <c r="I57" s="175"/>
      <c r="J57" s="96"/>
    </row>
    <row r="58" spans="1:11" x14ac:dyDescent="0.2">
      <c r="A58" s="94" t="s">
        <v>87</v>
      </c>
      <c r="B58" s="11" t="s">
        <v>88</v>
      </c>
      <c r="C58" s="17"/>
      <c r="D58" s="12">
        <f>27096254-D68</f>
        <v>14863025</v>
      </c>
      <c r="E58" s="12">
        <f>23010751-E68+583</f>
        <v>14063344</v>
      </c>
      <c r="F58" s="16">
        <f t="shared" si="4"/>
        <v>0.94619661879058936</v>
      </c>
      <c r="G58" s="174"/>
      <c r="H58" s="174"/>
      <c r="I58" s="175"/>
      <c r="J58" s="96"/>
    </row>
    <row r="59" spans="1:11" x14ac:dyDescent="0.2">
      <c r="A59" s="94" t="s">
        <v>89</v>
      </c>
      <c r="B59" s="11" t="s">
        <v>90</v>
      </c>
      <c r="C59" s="17"/>
      <c r="D59" s="12">
        <f>7016173-D69</f>
        <v>6394173</v>
      </c>
      <c r="E59" s="12">
        <f>6778672-E69</f>
        <v>6190494</v>
      </c>
      <c r="F59" s="16">
        <f t="shared" si="4"/>
        <v>0.96814615431894002</v>
      </c>
      <c r="G59" s="174"/>
      <c r="H59" s="174"/>
      <c r="I59" s="175"/>
      <c r="J59" s="96"/>
    </row>
    <row r="60" spans="1:11" x14ac:dyDescent="0.2">
      <c r="A60" s="94" t="s">
        <v>91</v>
      </c>
      <c r="B60" s="11" t="s">
        <v>92</v>
      </c>
      <c r="C60" s="17"/>
      <c r="D60" s="12">
        <f>5040054-D70</f>
        <v>2890719</v>
      </c>
      <c r="E60" s="12">
        <f>4614858-E70</f>
        <v>2833329</v>
      </c>
      <c r="F60" s="16">
        <f t="shared" si="4"/>
        <v>0.98014680776651064</v>
      </c>
      <c r="G60" s="174"/>
      <c r="H60" s="174"/>
      <c r="I60" s="175"/>
      <c r="J60" s="96"/>
    </row>
    <row r="61" spans="1:11" x14ac:dyDescent="0.2">
      <c r="A61" s="94" t="s">
        <v>93</v>
      </c>
      <c r="B61" s="11" t="s">
        <v>94</v>
      </c>
      <c r="C61" s="17"/>
      <c r="D61" s="12">
        <v>506991</v>
      </c>
      <c r="E61" s="12">
        <v>475317.84</v>
      </c>
      <c r="F61" s="16">
        <f t="shared" si="4"/>
        <v>0.93752717503861016</v>
      </c>
      <c r="G61" s="174"/>
      <c r="H61" s="174"/>
      <c r="I61" s="175"/>
      <c r="J61" s="96"/>
    </row>
    <row r="62" spans="1:11" x14ac:dyDescent="0.2">
      <c r="A62" s="94" t="s">
        <v>95</v>
      </c>
      <c r="B62" s="11" t="s">
        <v>96</v>
      </c>
      <c r="C62" s="17"/>
      <c r="D62" s="12">
        <f>10420102-D72</f>
        <v>8900517</v>
      </c>
      <c r="E62" s="12">
        <f>9995716-E72</f>
        <v>8713596</v>
      </c>
      <c r="F62" s="16">
        <f t="shared" si="4"/>
        <v>0.97899886040327766</v>
      </c>
      <c r="G62" s="174"/>
      <c r="H62" s="174"/>
      <c r="I62" s="175"/>
      <c r="J62" s="96"/>
    </row>
    <row r="63" spans="1:11" x14ac:dyDescent="0.2">
      <c r="A63" s="94" t="s">
        <v>97</v>
      </c>
      <c r="B63" s="11" t="s">
        <v>98</v>
      </c>
      <c r="C63" s="17"/>
      <c r="D63" s="12">
        <f>100671283-D73</f>
        <v>84732318</v>
      </c>
      <c r="E63" s="12">
        <v>82967765.300000042</v>
      </c>
      <c r="F63" s="16">
        <f t="shared" si="4"/>
        <v>0.97917497429965317</v>
      </c>
      <c r="G63" s="174"/>
      <c r="H63" s="174"/>
      <c r="I63" s="175"/>
      <c r="J63" s="96"/>
    </row>
    <row r="64" spans="1:11" x14ac:dyDescent="0.2">
      <c r="A64" s="94" t="s">
        <v>99</v>
      </c>
      <c r="B64" s="11" t="s">
        <v>100</v>
      </c>
      <c r="C64" s="17"/>
      <c r="D64" s="12">
        <f>15371186-D74</f>
        <v>13307302</v>
      </c>
      <c r="E64" s="12">
        <f>13224704-E74</f>
        <v>12238525</v>
      </c>
      <c r="F64" s="16">
        <f>E64/D64</f>
        <v>0.91968492185718786</v>
      </c>
      <c r="G64" s="174"/>
      <c r="H64" s="174"/>
      <c r="I64" s="175"/>
      <c r="J64" s="96"/>
    </row>
    <row r="65" spans="1:9" x14ac:dyDescent="0.2">
      <c r="A65" s="92"/>
      <c r="B65" s="184" t="s">
        <v>263</v>
      </c>
      <c r="C65" s="185"/>
      <c r="D65" s="93">
        <f>SUM(D66:D74)</f>
        <v>35719377</v>
      </c>
      <c r="E65" s="48">
        <f>SUM(E66:E74)</f>
        <v>28948007</v>
      </c>
      <c r="F65" s="49">
        <f>E65/D65</f>
        <v>0.81042866453129903</v>
      </c>
      <c r="G65" s="172"/>
      <c r="H65" s="172"/>
      <c r="I65" s="173"/>
    </row>
    <row r="66" spans="1:9" x14ac:dyDescent="0.2">
      <c r="A66" s="94" t="s">
        <v>83</v>
      </c>
      <c r="B66" s="11" t="s">
        <v>84</v>
      </c>
      <c r="C66" s="56"/>
      <c r="D66" s="50">
        <v>1192379</v>
      </c>
      <c r="E66" s="50">
        <v>717263</v>
      </c>
      <c r="F66" s="16">
        <f t="shared" ref="F66:F74" si="5">E66/D66</f>
        <v>0.60153944341522281</v>
      </c>
      <c r="G66" s="174"/>
      <c r="H66" s="174"/>
      <c r="I66" s="175"/>
    </row>
    <row r="67" spans="1:9" x14ac:dyDescent="0.2">
      <c r="A67" s="94" t="s">
        <v>85</v>
      </c>
      <c r="B67" s="11" t="s">
        <v>86</v>
      </c>
      <c r="C67" s="17"/>
      <c r="D67" s="50">
        <v>0</v>
      </c>
      <c r="E67" s="50">
        <v>1624</v>
      </c>
      <c r="F67" s="51" t="s">
        <v>74</v>
      </c>
      <c r="G67" s="174"/>
      <c r="H67" s="174"/>
      <c r="I67" s="176"/>
    </row>
    <row r="68" spans="1:9" x14ac:dyDescent="0.2">
      <c r="A68" s="94" t="s">
        <v>87</v>
      </c>
      <c r="B68" s="11" t="s">
        <v>88</v>
      </c>
      <c r="C68" s="17"/>
      <c r="D68" s="50">
        <v>12233229</v>
      </c>
      <c r="E68" s="50">
        <v>8947990</v>
      </c>
      <c r="F68" s="16">
        <f t="shared" si="5"/>
        <v>0.73144956249899351</v>
      </c>
      <c r="G68" s="174"/>
      <c r="H68" s="174"/>
      <c r="I68" s="175"/>
    </row>
    <row r="69" spans="1:9" x14ac:dyDescent="0.2">
      <c r="A69" s="94" t="s">
        <v>89</v>
      </c>
      <c r="B69" s="11" t="s">
        <v>90</v>
      </c>
      <c r="C69" s="17"/>
      <c r="D69" s="50">
        <v>622000</v>
      </c>
      <c r="E69" s="50">
        <v>588178</v>
      </c>
      <c r="F69" s="16">
        <f t="shared" si="5"/>
        <v>0.94562379421221865</v>
      </c>
      <c r="G69" s="174"/>
      <c r="H69" s="174"/>
      <c r="I69" s="175"/>
    </row>
    <row r="70" spans="1:9" x14ac:dyDescent="0.2">
      <c r="A70" s="94" t="s">
        <v>91</v>
      </c>
      <c r="B70" s="11" t="s">
        <v>92</v>
      </c>
      <c r="C70" s="17"/>
      <c r="D70" s="50">
        <v>2149335</v>
      </c>
      <c r="E70" s="50">
        <v>1781529</v>
      </c>
      <c r="F70" s="16">
        <f t="shared" si="5"/>
        <v>0.82887451234916842</v>
      </c>
      <c r="G70" s="174"/>
      <c r="H70" s="174"/>
      <c r="I70" s="175"/>
    </row>
    <row r="71" spans="1:9" x14ac:dyDescent="0.2">
      <c r="A71" s="94" t="s">
        <v>93</v>
      </c>
      <c r="B71" s="11" t="s">
        <v>94</v>
      </c>
      <c r="C71" s="17"/>
      <c r="D71" s="50">
        <v>0</v>
      </c>
      <c r="E71" s="50">
        <v>0</v>
      </c>
      <c r="F71" s="51" t="s">
        <v>74</v>
      </c>
      <c r="G71" s="174"/>
      <c r="H71" s="174"/>
      <c r="I71" s="176"/>
    </row>
    <row r="72" spans="1:9" x14ac:dyDescent="0.2">
      <c r="A72" s="94" t="s">
        <v>95</v>
      </c>
      <c r="B72" s="11" t="s">
        <v>96</v>
      </c>
      <c r="C72" s="17"/>
      <c r="D72" s="50">
        <v>1519585</v>
      </c>
      <c r="E72" s="50">
        <v>1282120</v>
      </c>
      <c r="F72" s="16">
        <f t="shared" si="5"/>
        <v>0.84373036059187212</v>
      </c>
      <c r="G72" s="174"/>
      <c r="H72" s="174"/>
      <c r="I72" s="175"/>
    </row>
    <row r="73" spans="1:9" x14ac:dyDescent="0.2">
      <c r="A73" s="94" t="s">
        <v>97</v>
      </c>
      <c r="B73" s="11" t="s">
        <v>98</v>
      </c>
      <c r="C73" s="17"/>
      <c r="D73" s="50">
        <v>15938965</v>
      </c>
      <c r="E73" s="50">
        <v>14643124</v>
      </c>
      <c r="F73" s="16">
        <f t="shared" si="5"/>
        <v>0.91869980265343454</v>
      </c>
      <c r="G73" s="174"/>
      <c r="H73" s="174"/>
      <c r="I73" s="175"/>
    </row>
    <row r="74" spans="1:9" x14ac:dyDescent="0.2">
      <c r="A74" s="94" t="s">
        <v>99</v>
      </c>
      <c r="B74" s="11" t="s">
        <v>100</v>
      </c>
      <c r="C74" s="17"/>
      <c r="D74" s="50">
        <v>2063884</v>
      </c>
      <c r="E74" s="50">
        <v>986179</v>
      </c>
      <c r="F74" s="16">
        <f t="shared" si="5"/>
        <v>0.47782675770537492</v>
      </c>
      <c r="G74" s="174"/>
      <c r="H74" s="174"/>
      <c r="I74" s="175"/>
    </row>
  </sheetData>
  <mergeCells count="8">
    <mergeCell ref="H3:I3"/>
    <mergeCell ref="B55:C55"/>
    <mergeCell ref="B65:C65"/>
    <mergeCell ref="D2:F2"/>
    <mergeCell ref="A2:C2"/>
    <mergeCell ref="D3:D4"/>
    <mergeCell ref="E3:E4"/>
    <mergeCell ref="F3:F4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5"/>
  <sheetViews>
    <sheetView topLeftCell="B1" zoomScaleNormal="100" workbookViewId="0">
      <pane xSplit="4" ySplit="6" topLeftCell="F7" activePane="bottomRight" state="frozen"/>
      <selection activeCell="B1" sqref="B1"/>
      <selection pane="topRight" activeCell="F1" sqref="F1"/>
      <selection pane="bottomLeft" activeCell="B7" sqref="B7"/>
      <selection pane="bottomRight" activeCell="J20" sqref="J20"/>
    </sheetView>
  </sheetViews>
  <sheetFormatPr defaultColWidth="9.140625" defaultRowHeight="12.75" x14ac:dyDescent="0.2"/>
  <cols>
    <col min="1" max="1" width="0.5703125" style="18" hidden="1" customWidth="1"/>
    <col min="2" max="2" width="7.140625" style="18" customWidth="1"/>
    <col min="3" max="3" width="42.85546875" style="18" customWidth="1"/>
    <col min="4" max="6" width="10.7109375" style="18" customWidth="1"/>
    <col min="7" max="7" width="14.140625" style="18" customWidth="1"/>
    <col min="8" max="8" width="9.5703125" style="18" customWidth="1"/>
    <col min="9" max="9" width="10.140625" style="18" bestFit="1" customWidth="1"/>
    <col min="10" max="10" width="13.5703125" style="18" customWidth="1"/>
    <col min="11" max="11" width="11.85546875" style="18" customWidth="1"/>
    <col min="12" max="12" width="11.7109375" style="18" customWidth="1"/>
    <col min="13" max="16384" width="9.140625" style="18"/>
  </cols>
  <sheetData>
    <row r="1" spans="1:29" ht="15" x14ac:dyDescent="0.25">
      <c r="B1" s="19"/>
      <c r="C1" s="20" t="s">
        <v>122</v>
      </c>
      <c r="D1" s="20"/>
      <c r="E1" s="20"/>
      <c r="F1" s="99"/>
      <c r="G1" s="99"/>
      <c r="H1" s="19"/>
      <c r="I1" s="21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ht="15" x14ac:dyDescent="0.25">
      <c r="B2" s="19"/>
      <c r="C2" s="19"/>
      <c r="D2" s="19"/>
      <c r="E2" s="19"/>
      <c r="F2" s="36"/>
      <c r="G2" s="36"/>
      <c r="H2" s="23"/>
      <c r="I2" s="21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29" ht="15" x14ac:dyDescent="0.25">
      <c r="B3" s="19"/>
      <c r="C3" s="20" t="s">
        <v>292</v>
      </c>
      <c r="D3" s="19"/>
      <c r="E3" s="19"/>
      <c r="F3" s="19"/>
      <c r="G3" s="24" t="s">
        <v>28</v>
      </c>
      <c r="H3" s="19"/>
      <c r="I3" s="21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spans="1:29" ht="15" x14ac:dyDescent="0.25">
      <c r="B4" s="19"/>
      <c r="C4" s="19"/>
      <c r="D4" s="19"/>
      <c r="E4" s="19"/>
      <c r="F4" s="19"/>
      <c r="G4" s="24"/>
      <c r="H4" s="19"/>
      <c r="I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29" ht="99" customHeight="1" x14ac:dyDescent="0.25">
      <c r="A5" s="25"/>
      <c r="B5" s="26"/>
      <c r="C5" s="26"/>
      <c r="D5" s="100" t="s">
        <v>123</v>
      </c>
      <c r="E5" s="101" t="s">
        <v>124</v>
      </c>
      <c r="F5" s="101" t="s">
        <v>125</v>
      </c>
      <c r="G5" s="101" t="s">
        <v>26</v>
      </c>
      <c r="H5" s="102" t="s">
        <v>27</v>
      </c>
      <c r="I5" s="27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 ht="15" x14ac:dyDescent="0.25">
      <c r="A6" s="25"/>
      <c r="B6" s="26"/>
      <c r="C6" s="28" t="s">
        <v>126</v>
      </c>
      <c r="D6" s="28"/>
      <c r="E6" s="29">
        <f>SUM(E7,E9,E11)</f>
        <v>35313881</v>
      </c>
      <c r="F6" s="29">
        <f t="shared" ref="F6" si="0">SUM(F7,F9,F11)</f>
        <v>35719377</v>
      </c>
      <c r="G6" s="29">
        <f>SUM(G7,G9,G11)</f>
        <v>28948007.250000004</v>
      </c>
      <c r="H6" s="29">
        <f t="shared" ref="H6:H11" si="1">ROUND(G6/F6*100,1)</f>
        <v>81</v>
      </c>
      <c r="I6" s="30"/>
      <c r="J6" s="31"/>
      <c r="K6" s="31"/>
      <c r="L6" s="31"/>
      <c r="M6" s="3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t="15" x14ac:dyDescent="0.25">
      <c r="A7" s="25"/>
      <c r="B7" s="26"/>
      <c r="C7" s="26" t="s">
        <v>0</v>
      </c>
      <c r="D7" s="26" t="s">
        <v>3</v>
      </c>
      <c r="E7" s="33">
        <f>SUMIF($D16:$D406,$D7,E16:E406)</f>
        <v>29914015</v>
      </c>
      <c r="F7" s="33">
        <f>SUMIF($D16:$D406,$D7,F16:F406)</f>
        <v>32413841</v>
      </c>
      <c r="G7" s="33">
        <f>SUMIF($D16:$D406,$D7,G16:G406)+5</f>
        <v>26266422.250000004</v>
      </c>
      <c r="H7" s="33">
        <f t="shared" si="1"/>
        <v>81</v>
      </c>
      <c r="I7" s="30"/>
      <c r="J7" s="31"/>
      <c r="K7" s="31"/>
      <c r="L7" s="32"/>
      <c r="M7" s="3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29" ht="15" x14ac:dyDescent="0.25">
      <c r="A8" s="25"/>
      <c r="B8" s="26"/>
      <c r="C8" s="34" t="s">
        <v>127</v>
      </c>
      <c r="D8" s="34"/>
      <c r="E8" s="35">
        <v>12520235</v>
      </c>
      <c r="F8" s="35">
        <f>F31+F50+F52+F65+F96+F152+F167+F180+F183+F203+F214+F190+F171</f>
        <v>10116480</v>
      </c>
      <c r="G8" s="35">
        <f>G31+G50+G52+G65+G96+G152+G167+G180+G183+G203+G214+G190+G172+G171</f>
        <v>6636415.3799999999</v>
      </c>
      <c r="H8" s="35">
        <f t="shared" si="1"/>
        <v>65.599999999999994</v>
      </c>
      <c r="I8" s="30"/>
      <c r="J8" s="31"/>
      <c r="K8" s="31"/>
      <c r="L8" s="31"/>
      <c r="M8" s="3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1:29" ht="15" x14ac:dyDescent="0.25">
      <c r="A9" s="25"/>
      <c r="B9" s="26"/>
      <c r="C9" s="26" t="s">
        <v>1</v>
      </c>
      <c r="D9" s="26" t="s">
        <v>4</v>
      </c>
      <c r="E9" s="33">
        <f>SUMIF($D16:$D406,$D9,E16:E406)</f>
        <v>4621965</v>
      </c>
      <c r="F9" s="33">
        <f>SUMIF($D16:$D406,$D9,F16:F406)</f>
        <v>2531645</v>
      </c>
      <c r="G9" s="33">
        <f>SUMIF($D16:$D406,$D9,G16:G406)-2</f>
        <v>2173978</v>
      </c>
      <c r="H9" s="33">
        <f t="shared" si="1"/>
        <v>85.9</v>
      </c>
      <c r="I9" s="30"/>
      <c r="J9" s="31"/>
      <c r="K9" s="31"/>
      <c r="L9" s="32"/>
      <c r="M9" s="3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</row>
    <row r="10" spans="1:29" ht="15" x14ac:dyDescent="0.25">
      <c r="A10" s="25"/>
      <c r="B10" s="26"/>
      <c r="C10" s="34" t="s">
        <v>127</v>
      </c>
      <c r="D10" s="34"/>
      <c r="E10" s="35">
        <v>3400000</v>
      </c>
      <c r="F10" s="35">
        <v>1300000</v>
      </c>
      <c r="G10" s="35">
        <v>1090552</v>
      </c>
      <c r="H10" s="35">
        <f t="shared" si="1"/>
        <v>83.9</v>
      </c>
      <c r="I10" s="30"/>
      <c r="J10" s="31"/>
      <c r="K10" s="31"/>
      <c r="L10" s="32"/>
      <c r="M10" s="3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29" ht="15" x14ac:dyDescent="0.25">
      <c r="A11" s="25"/>
      <c r="B11" s="26"/>
      <c r="C11" s="26" t="s">
        <v>2</v>
      </c>
      <c r="D11" s="26" t="s">
        <v>5</v>
      </c>
      <c r="E11" s="33">
        <f>SUMIF($D17:$D207,$D11,E17:E407)</f>
        <v>777901</v>
      </c>
      <c r="F11" s="33">
        <f>SUMIF($D17:$D207,$D11,F17:F407)</f>
        <v>773891</v>
      </c>
      <c r="G11" s="33">
        <f>SUMIF($D17:$D207,$D11,G17:G407)</f>
        <v>507607</v>
      </c>
      <c r="H11" s="33">
        <f t="shared" si="1"/>
        <v>65.599999999999994</v>
      </c>
      <c r="I11" s="30"/>
      <c r="J11" s="32"/>
      <c r="K11" s="32"/>
      <c r="L11" s="32"/>
      <c r="M11" s="3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</row>
    <row r="12" spans="1:29" ht="15" x14ac:dyDescent="0.25">
      <c r="B12" s="19"/>
      <c r="C12" s="19"/>
      <c r="D12" s="19"/>
      <c r="E12" s="36"/>
      <c r="F12" s="36"/>
      <c r="G12" s="36"/>
      <c r="H12" s="36"/>
      <c r="I12" s="30"/>
      <c r="J12" s="31"/>
      <c r="K12" s="31"/>
      <c r="L12" s="32"/>
      <c r="M12" s="3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1:29" ht="15" x14ac:dyDescent="0.25">
      <c r="B13" s="19"/>
      <c r="C13" s="19" t="s">
        <v>6</v>
      </c>
      <c r="D13" s="19"/>
      <c r="E13" s="36"/>
      <c r="F13" s="36"/>
      <c r="G13" s="36"/>
      <c r="H13" s="36"/>
      <c r="I13" s="30"/>
      <c r="J13" s="32"/>
      <c r="K13" s="32"/>
      <c r="L13" s="32"/>
      <c r="M13" s="3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29" ht="15" x14ac:dyDescent="0.25">
      <c r="B14" s="19"/>
      <c r="C14" s="19"/>
      <c r="D14" s="19"/>
      <c r="E14" s="36"/>
      <c r="F14" s="36"/>
      <c r="G14" s="36"/>
      <c r="H14" s="36"/>
      <c r="I14" s="30"/>
      <c r="J14" s="31"/>
      <c r="K14" s="31"/>
      <c r="L14" s="32"/>
      <c r="M14" s="3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1:29" s="124" customFormat="1" ht="15" x14ac:dyDescent="0.25">
      <c r="A15" s="119"/>
      <c r="B15" s="104" t="s">
        <v>264</v>
      </c>
      <c r="C15" s="129" t="s">
        <v>128</v>
      </c>
      <c r="D15" s="104"/>
      <c r="E15" s="135">
        <f>SUM(E16,E19)</f>
        <v>1070233</v>
      </c>
      <c r="F15" s="135">
        <f>SUM(F16,F19)</f>
        <v>1192379</v>
      </c>
      <c r="G15" s="135">
        <f>SUM(G16,G19)</f>
        <v>717263</v>
      </c>
      <c r="H15" s="130">
        <f t="shared" ref="H15" si="2">ROUND(G15/F15*100,1)</f>
        <v>60.2</v>
      </c>
      <c r="I15" s="131"/>
      <c r="J15" s="132"/>
      <c r="K15" s="132"/>
      <c r="L15" s="132"/>
      <c r="M15" s="151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</row>
    <row r="16" spans="1:29" s="124" customFormat="1" ht="15" x14ac:dyDescent="0.25">
      <c r="A16" s="119"/>
      <c r="B16" s="104"/>
      <c r="C16" s="133" t="s">
        <v>129</v>
      </c>
      <c r="D16" s="104"/>
      <c r="E16" s="130">
        <f>SUM(E17:E18)</f>
        <v>777901</v>
      </c>
      <c r="F16" s="130">
        <f>SUM(F17:F18)</f>
        <v>773891</v>
      </c>
      <c r="G16" s="130">
        <f>SUM(G17:G18)</f>
        <v>507607</v>
      </c>
      <c r="H16" s="130">
        <f t="shared" ref="H16:H23" si="3">ROUND(G16/F16*100,1)</f>
        <v>65.599999999999994</v>
      </c>
      <c r="I16" s="131"/>
      <c r="J16" s="132"/>
      <c r="K16" s="151"/>
      <c r="L16" s="151"/>
      <c r="M16" s="151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</row>
    <row r="17" spans="1:29" s="124" customFormat="1" ht="15" x14ac:dyDescent="0.25">
      <c r="A17" s="119"/>
      <c r="B17" s="104" t="s">
        <v>23</v>
      </c>
      <c r="C17" s="104" t="s">
        <v>130</v>
      </c>
      <c r="D17" s="104" t="s">
        <v>5</v>
      </c>
      <c r="E17" s="106">
        <v>686037</v>
      </c>
      <c r="F17" s="106">
        <v>686037</v>
      </c>
      <c r="G17" s="106">
        <v>423330</v>
      </c>
      <c r="H17" s="181">
        <f t="shared" si="3"/>
        <v>61.7</v>
      </c>
      <c r="I17" s="131"/>
      <c r="J17" s="132"/>
      <c r="K17" s="132"/>
      <c r="L17" s="151"/>
      <c r="M17" s="151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</row>
    <row r="18" spans="1:29" s="124" customFormat="1" ht="24" x14ac:dyDescent="0.25">
      <c r="A18" s="119"/>
      <c r="B18" s="104" t="s">
        <v>24</v>
      </c>
      <c r="C18" s="166" t="s">
        <v>131</v>
      </c>
      <c r="D18" s="104" t="s">
        <v>5</v>
      </c>
      <c r="E18" s="106">
        <v>91864</v>
      </c>
      <c r="F18" s="106">
        <v>87854</v>
      </c>
      <c r="G18" s="106">
        <v>84277</v>
      </c>
      <c r="H18" s="120">
        <f t="shared" si="3"/>
        <v>95.9</v>
      </c>
      <c r="I18" s="131"/>
      <c r="J18" s="132"/>
      <c r="K18" s="132"/>
      <c r="L18" s="132"/>
      <c r="M18" s="151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</row>
    <row r="19" spans="1:29" s="124" customFormat="1" ht="15" x14ac:dyDescent="0.25">
      <c r="A19" s="119"/>
      <c r="B19" s="104"/>
      <c r="C19" s="133" t="s">
        <v>132</v>
      </c>
      <c r="D19" s="104"/>
      <c r="E19" s="130">
        <f>SUM(E20:E23)</f>
        <v>292332</v>
      </c>
      <c r="F19" s="130">
        <f>SUM(F20:F23)</f>
        <v>418488</v>
      </c>
      <c r="G19" s="130">
        <f>SUM(G20:G23)</f>
        <v>209656</v>
      </c>
      <c r="H19" s="130">
        <f t="shared" si="3"/>
        <v>50.1</v>
      </c>
      <c r="I19" s="121"/>
      <c r="J19" s="132"/>
      <c r="K19" s="132"/>
      <c r="L19" s="132"/>
      <c r="M19" s="151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</row>
    <row r="20" spans="1:29" s="124" customFormat="1" ht="15" x14ac:dyDescent="0.25">
      <c r="A20" s="119"/>
      <c r="B20" s="104" t="s">
        <v>22</v>
      </c>
      <c r="C20" s="104" t="s">
        <v>133</v>
      </c>
      <c r="D20" s="104" t="s">
        <v>3</v>
      </c>
      <c r="E20" s="106">
        <v>36000</v>
      </c>
      <c r="F20" s="106">
        <v>23000</v>
      </c>
      <c r="G20" s="106">
        <v>0</v>
      </c>
      <c r="H20" s="120">
        <f t="shared" si="3"/>
        <v>0</v>
      </c>
      <c r="I20" s="121"/>
      <c r="J20" s="132"/>
      <c r="K20" s="151"/>
      <c r="L20" s="151"/>
      <c r="M20" s="151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</row>
    <row r="21" spans="1:29" s="124" customFormat="1" ht="15" x14ac:dyDescent="0.25">
      <c r="A21" s="119"/>
      <c r="B21" s="104" t="s">
        <v>25</v>
      </c>
      <c r="C21" s="104" t="s">
        <v>7</v>
      </c>
      <c r="D21" s="104" t="s">
        <v>3</v>
      </c>
      <c r="E21" s="106">
        <v>12000</v>
      </c>
      <c r="F21" s="106">
        <v>69454</v>
      </c>
      <c r="G21" s="106">
        <v>111174</v>
      </c>
      <c r="H21" s="120">
        <f t="shared" si="3"/>
        <v>160.1</v>
      </c>
      <c r="I21" s="121"/>
      <c r="J21" s="122"/>
      <c r="K21" s="122"/>
      <c r="L21" s="122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</row>
    <row r="22" spans="1:29" s="124" customFormat="1" ht="15" x14ac:dyDescent="0.25">
      <c r="A22" s="119"/>
      <c r="B22" s="104" t="s">
        <v>25</v>
      </c>
      <c r="C22" s="104" t="s">
        <v>134</v>
      </c>
      <c r="D22" s="104" t="s">
        <v>3</v>
      </c>
      <c r="E22" s="106">
        <v>244332</v>
      </c>
      <c r="F22" s="106">
        <v>252278</v>
      </c>
      <c r="G22" s="106">
        <v>94372</v>
      </c>
      <c r="H22" s="120">
        <f t="shared" si="3"/>
        <v>37.4</v>
      </c>
      <c r="I22" s="121"/>
      <c r="J22" s="122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</row>
    <row r="23" spans="1:29" s="124" customFormat="1" ht="15" x14ac:dyDescent="0.25">
      <c r="A23" s="119"/>
      <c r="B23" s="104" t="s">
        <v>21</v>
      </c>
      <c r="C23" s="134" t="s">
        <v>135</v>
      </c>
      <c r="D23" s="104" t="s">
        <v>3</v>
      </c>
      <c r="E23" s="106">
        <v>0</v>
      </c>
      <c r="F23" s="106">
        <v>73756</v>
      </c>
      <c r="G23" s="106">
        <v>4110</v>
      </c>
      <c r="H23" s="120">
        <f t="shared" si="3"/>
        <v>5.6</v>
      </c>
      <c r="I23" s="121"/>
      <c r="J23" s="122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</row>
    <row r="24" spans="1:29" s="124" customFormat="1" ht="15" x14ac:dyDescent="0.25">
      <c r="A24" s="119"/>
      <c r="B24" s="104"/>
      <c r="C24" s="156" t="s">
        <v>296</v>
      </c>
      <c r="D24" s="104"/>
      <c r="E24" s="135">
        <f>E25</f>
        <v>0</v>
      </c>
      <c r="F24" s="135">
        <f>F25</f>
        <v>0</v>
      </c>
      <c r="G24" s="135">
        <f>G25</f>
        <v>1624</v>
      </c>
      <c r="H24" s="169" t="s">
        <v>74</v>
      </c>
      <c r="I24" s="121"/>
      <c r="J24" s="122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</row>
    <row r="25" spans="1:29" s="124" customFormat="1" ht="15" x14ac:dyDescent="0.25">
      <c r="A25" s="119"/>
      <c r="B25" s="104" t="s">
        <v>23</v>
      </c>
      <c r="C25" s="168" t="s">
        <v>306</v>
      </c>
      <c r="D25" s="104" t="s">
        <v>4</v>
      </c>
      <c r="E25" s="106">
        <v>0</v>
      </c>
      <c r="F25" s="106">
        <v>0</v>
      </c>
      <c r="G25" s="106">
        <v>1624</v>
      </c>
      <c r="H25" s="169" t="s">
        <v>74</v>
      </c>
      <c r="I25" s="121"/>
      <c r="J25" s="122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</row>
    <row r="26" spans="1:29" s="124" customFormat="1" ht="17.25" customHeight="1" x14ac:dyDescent="0.25">
      <c r="A26" s="119"/>
      <c r="B26" s="104"/>
      <c r="C26" s="129" t="s">
        <v>8</v>
      </c>
      <c r="D26" s="104"/>
      <c r="E26" s="135">
        <f>SUM(E27,E28,E55,E58,E61)</f>
        <v>15805848</v>
      </c>
      <c r="F26" s="135">
        <f>F27+F28+F55+F58+F61</f>
        <v>12233229</v>
      </c>
      <c r="G26" s="135">
        <f>G27+G28+G55+G58+G61</f>
        <v>8947988.3499999996</v>
      </c>
      <c r="H26" s="135">
        <f t="shared" ref="H26:H35" si="4">ROUND(G26/F26*100,1)</f>
        <v>73.099999999999994</v>
      </c>
      <c r="I26" s="121"/>
      <c r="J26" s="122"/>
      <c r="K26" s="136"/>
      <c r="L26" s="136"/>
      <c r="M26" s="136"/>
      <c r="N26" s="136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</row>
    <row r="27" spans="1:29" s="124" customFormat="1" ht="15" x14ac:dyDescent="0.25">
      <c r="A27" s="119"/>
      <c r="B27" s="104" t="s">
        <v>101</v>
      </c>
      <c r="C27" s="129" t="s">
        <v>136</v>
      </c>
      <c r="D27" s="104" t="s">
        <v>3</v>
      </c>
      <c r="E27" s="135">
        <v>180000</v>
      </c>
      <c r="F27" s="135">
        <v>215000</v>
      </c>
      <c r="G27" s="135">
        <v>180000</v>
      </c>
      <c r="H27" s="163">
        <f t="shared" si="4"/>
        <v>83.7</v>
      </c>
      <c r="I27" s="121"/>
      <c r="J27" s="122"/>
      <c r="K27" s="136"/>
      <c r="L27" s="136"/>
      <c r="M27" s="136"/>
      <c r="N27" s="136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</row>
    <row r="28" spans="1:29" s="124" customFormat="1" ht="15" x14ac:dyDescent="0.25">
      <c r="A28" s="119"/>
      <c r="B28" s="123"/>
      <c r="C28" s="133" t="s">
        <v>137</v>
      </c>
      <c r="D28" s="104"/>
      <c r="E28" s="135">
        <f>SUM(E29,E45,E46,E47,E48,E53)</f>
        <v>7578000</v>
      </c>
      <c r="F28" s="130">
        <f>SUM(F29,F45,F46,F47,F48,F53)</f>
        <v>9001500</v>
      </c>
      <c r="G28" s="130">
        <f>SUM(G29,G45,G46,G47,G48,G53)</f>
        <v>6812546.1999999993</v>
      </c>
      <c r="H28" s="135">
        <f t="shared" si="4"/>
        <v>75.7</v>
      </c>
      <c r="I28" s="131"/>
      <c r="J28" s="132"/>
      <c r="K28" s="132"/>
      <c r="L28" s="132"/>
      <c r="M28" s="137"/>
      <c r="N28" s="136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</row>
    <row r="29" spans="1:29" s="124" customFormat="1" ht="15" x14ac:dyDescent="0.25">
      <c r="A29" s="119"/>
      <c r="B29" s="104" t="s">
        <v>22</v>
      </c>
      <c r="C29" s="138" t="s">
        <v>294</v>
      </c>
      <c r="D29" s="138"/>
      <c r="E29" s="130">
        <f>SUM(E30:E44)</f>
        <v>5125000</v>
      </c>
      <c r="F29" s="130">
        <f>SUM(F30:F44)</f>
        <v>5886910</v>
      </c>
      <c r="G29" s="130">
        <f>SUM(G30:G44)</f>
        <v>4529125.1999999993</v>
      </c>
      <c r="H29" s="130">
        <f t="shared" si="4"/>
        <v>76.900000000000006</v>
      </c>
      <c r="I29" s="131"/>
      <c r="J29" s="131"/>
      <c r="K29" s="131"/>
      <c r="L29" s="137"/>
      <c r="M29" s="137"/>
      <c r="N29" s="136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</row>
    <row r="30" spans="1:29" s="124" customFormat="1" ht="15" x14ac:dyDescent="0.25">
      <c r="A30" s="119"/>
      <c r="B30" s="104"/>
      <c r="C30" s="104" t="s">
        <v>9</v>
      </c>
      <c r="D30" s="104" t="s">
        <v>3</v>
      </c>
      <c r="E30" s="106">
        <v>195000</v>
      </c>
      <c r="F30" s="106">
        <v>195000</v>
      </c>
      <c r="G30" s="106">
        <v>147535</v>
      </c>
      <c r="H30" s="120">
        <f t="shared" si="4"/>
        <v>75.7</v>
      </c>
      <c r="I30" s="131"/>
      <c r="J30" s="132"/>
      <c r="K30" s="132"/>
      <c r="L30" s="132"/>
      <c r="M30" s="137"/>
      <c r="N30" s="136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</row>
    <row r="31" spans="1:29" s="124" customFormat="1" ht="15" x14ac:dyDescent="0.25">
      <c r="A31" s="119"/>
      <c r="B31" s="104"/>
      <c r="C31" s="125" t="s">
        <v>9</v>
      </c>
      <c r="D31" s="125" t="s">
        <v>3</v>
      </c>
      <c r="E31" s="126">
        <v>1700000</v>
      </c>
      <c r="F31" s="126">
        <v>1700000</v>
      </c>
      <c r="G31" s="126">
        <v>640707</v>
      </c>
      <c r="H31" s="126">
        <f t="shared" si="4"/>
        <v>37.700000000000003</v>
      </c>
      <c r="I31" s="164"/>
      <c r="J31" s="131"/>
      <c r="K31" s="131"/>
      <c r="L31" s="131"/>
      <c r="M31" s="137"/>
      <c r="N31" s="136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</row>
    <row r="32" spans="1:29" s="124" customFormat="1" ht="15" x14ac:dyDescent="0.25">
      <c r="A32" s="119"/>
      <c r="B32" s="104"/>
      <c r="C32" s="104" t="s">
        <v>138</v>
      </c>
      <c r="D32" s="104" t="s">
        <v>3</v>
      </c>
      <c r="E32" s="106">
        <v>550000</v>
      </c>
      <c r="F32" s="106">
        <v>841800</v>
      </c>
      <c r="G32" s="106">
        <v>806927</v>
      </c>
      <c r="H32" s="120">
        <f t="shared" si="4"/>
        <v>95.9</v>
      </c>
      <c r="I32" s="131"/>
      <c r="J32" s="131"/>
      <c r="K32" s="131"/>
      <c r="L32" s="131"/>
      <c r="M32" s="137"/>
      <c r="N32" s="136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</row>
    <row r="33" spans="1:29" s="124" customFormat="1" ht="15" x14ac:dyDescent="0.25">
      <c r="A33" s="119"/>
      <c r="B33" s="104"/>
      <c r="C33" s="103" t="s">
        <v>102</v>
      </c>
      <c r="D33" s="104" t="s">
        <v>3</v>
      </c>
      <c r="E33" s="128">
        <v>535000</v>
      </c>
      <c r="F33" s="128">
        <v>614700</v>
      </c>
      <c r="G33" s="106">
        <v>572494</v>
      </c>
      <c r="H33" s="120">
        <f t="shared" si="4"/>
        <v>93.1</v>
      </c>
      <c r="I33" s="131"/>
      <c r="J33" s="131"/>
      <c r="K33" s="131"/>
      <c r="L33" s="137"/>
      <c r="M33" s="137"/>
      <c r="N33" s="136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</row>
    <row r="34" spans="1:29" s="124" customFormat="1" ht="15" x14ac:dyDescent="0.25">
      <c r="A34" s="119"/>
      <c r="B34" s="104"/>
      <c r="C34" s="103" t="s">
        <v>139</v>
      </c>
      <c r="D34" s="104" t="s">
        <v>3</v>
      </c>
      <c r="E34" s="128">
        <v>470000</v>
      </c>
      <c r="F34" s="128">
        <v>693910</v>
      </c>
      <c r="G34" s="106">
        <v>704847</v>
      </c>
      <c r="H34" s="120">
        <f t="shared" si="4"/>
        <v>101.6</v>
      </c>
      <c r="I34" s="121"/>
      <c r="J34" s="122"/>
      <c r="K34" s="136"/>
      <c r="L34" s="136"/>
      <c r="M34" s="136"/>
      <c r="N34" s="136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</row>
    <row r="35" spans="1:29" s="124" customFormat="1" ht="15" x14ac:dyDescent="0.25">
      <c r="A35" s="119"/>
      <c r="B35" s="104"/>
      <c r="C35" s="103" t="s">
        <v>140</v>
      </c>
      <c r="D35" s="104" t="s">
        <v>3</v>
      </c>
      <c r="E35" s="128">
        <v>350000</v>
      </c>
      <c r="F35" s="128">
        <v>391300</v>
      </c>
      <c r="G35" s="106">
        <v>387820.51</v>
      </c>
      <c r="H35" s="120">
        <f t="shared" si="4"/>
        <v>99.1</v>
      </c>
      <c r="I35" s="121"/>
      <c r="J35" s="122"/>
      <c r="K35" s="122"/>
      <c r="L35" s="122"/>
      <c r="M35" s="136"/>
      <c r="N35" s="136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</row>
    <row r="36" spans="1:29" s="124" customFormat="1" ht="15" x14ac:dyDescent="0.25">
      <c r="A36" s="119"/>
      <c r="B36" s="104"/>
      <c r="C36" s="159" t="s">
        <v>103</v>
      </c>
      <c r="D36" s="104" t="s">
        <v>3</v>
      </c>
      <c r="E36" s="106">
        <v>300000</v>
      </c>
      <c r="F36" s="106">
        <v>0</v>
      </c>
      <c r="G36" s="128">
        <v>702</v>
      </c>
      <c r="H36" s="169" t="s">
        <v>74</v>
      </c>
      <c r="I36" s="121"/>
      <c r="J36" s="122"/>
      <c r="K36" s="136"/>
      <c r="L36" s="136"/>
      <c r="M36" s="136"/>
      <c r="N36" s="136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</row>
    <row r="37" spans="1:29" s="124" customFormat="1" ht="15" x14ac:dyDescent="0.25">
      <c r="A37" s="119"/>
      <c r="B37" s="104"/>
      <c r="C37" s="103" t="s">
        <v>141</v>
      </c>
      <c r="D37" s="104" t="s">
        <v>3</v>
      </c>
      <c r="E37" s="106">
        <v>200000</v>
      </c>
      <c r="F37" s="106">
        <v>550000</v>
      </c>
      <c r="G37" s="106">
        <v>565797</v>
      </c>
      <c r="H37" s="120">
        <f>ROUND(G37/F37*100,1)</f>
        <v>102.9</v>
      </c>
      <c r="I37" s="121"/>
      <c r="J37" s="122"/>
      <c r="K37" s="136"/>
      <c r="L37" s="136"/>
      <c r="M37" s="136"/>
      <c r="N37" s="136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</row>
    <row r="38" spans="1:29" s="124" customFormat="1" ht="15" x14ac:dyDescent="0.25">
      <c r="A38" s="119"/>
      <c r="B38" s="104"/>
      <c r="C38" s="103" t="s">
        <v>142</v>
      </c>
      <c r="D38" s="104" t="s">
        <v>3</v>
      </c>
      <c r="E38" s="106">
        <v>170000</v>
      </c>
      <c r="F38" s="128">
        <v>170000</v>
      </c>
      <c r="G38" s="128">
        <v>57336</v>
      </c>
      <c r="H38" s="120">
        <f>ROUND(G38/F38*100,1)</f>
        <v>33.700000000000003</v>
      </c>
      <c r="I38" s="121"/>
      <c r="J38" s="122"/>
      <c r="K38" s="122"/>
      <c r="L38" s="122"/>
      <c r="M38" s="136"/>
      <c r="N38" s="136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</row>
    <row r="39" spans="1:29" s="124" customFormat="1" ht="15" x14ac:dyDescent="0.25">
      <c r="A39" s="119"/>
      <c r="B39" s="104"/>
      <c r="C39" s="103" t="s">
        <v>143</v>
      </c>
      <c r="D39" s="104" t="s">
        <v>3</v>
      </c>
      <c r="E39" s="106">
        <v>150000</v>
      </c>
      <c r="F39" s="106">
        <v>232800</v>
      </c>
      <c r="G39" s="128">
        <v>228882</v>
      </c>
      <c r="H39" s="120">
        <f>ROUND(G39/F39*100,1)</f>
        <v>98.3</v>
      </c>
      <c r="I39" s="121"/>
      <c r="J39" s="122"/>
      <c r="K39" s="136"/>
      <c r="L39" s="136"/>
      <c r="M39" s="136"/>
      <c r="N39" s="136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</row>
    <row r="40" spans="1:29" s="124" customFormat="1" ht="15" x14ac:dyDescent="0.25">
      <c r="A40" s="119"/>
      <c r="B40" s="104"/>
      <c r="C40" s="103" t="s">
        <v>104</v>
      </c>
      <c r="D40" s="104" t="s">
        <v>3</v>
      </c>
      <c r="E40" s="106">
        <v>125000</v>
      </c>
      <c r="F40" s="106">
        <v>85000</v>
      </c>
      <c r="G40" s="106">
        <v>87089.17</v>
      </c>
      <c r="H40" s="120">
        <f>ROUND(G40/F40*100,1)</f>
        <v>102.5</v>
      </c>
      <c r="I40" s="121"/>
      <c r="J40" s="122"/>
      <c r="K40" s="122"/>
      <c r="L40" s="122"/>
      <c r="M40" s="136"/>
      <c r="N40" s="136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</row>
    <row r="41" spans="1:29" s="124" customFormat="1" ht="15" x14ac:dyDescent="0.25">
      <c r="A41" s="119"/>
      <c r="B41" s="104"/>
      <c r="C41" s="103" t="s">
        <v>144</v>
      </c>
      <c r="D41" s="104" t="s">
        <v>3</v>
      </c>
      <c r="E41" s="106">
        <v>75000</v>
      </c>
      <c r="F41" s="106">
        <v>87400</v>
      </c>
      <c r="G41" s="128">
        <v>76809.17</v>
      </c>
      <c r="H41" s="120">
        <f>ROUND(G41/F41*100,1)</f>
        <v>87.9</v>
      </c>
      <c r="I41" s="121"/>
      <c r="J41" s="122"/>
      <c r="K41" s="136"/>
      <c r="L41" s="136"/>
      <c r="M41" s="136"/>
      <c r="N41" s="136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</row>
    <row r="42" spans="1:29" s="124" customFormat="1" ht="15" x14ac:dyDescent="0.25">
      <c r="A42" s="119"/>
      <c r="B42" s="104"/>
      <c r="C42" s="103" t="s">
        <v>307</v>
      </c>
      <c r="D42" s="104" t="s">
        <v>3</v>
      </c>
      <c r="E42" s="106">
        <v>80000</v>
      </c>
      <c r="F42" s="106">
        <v>0</v>
      </c>
      <c r="G42" s="128">
        <v>0</v>
      </c>
      <c r="H42" s="169" t="s">
        <v>74</v>
      </c>
      <c r="I42" s="121"/>
      <c r="J42" s="122"/>
      <c r="K42" s="136"/>
      <c r="L42" s="136"/>
      <c r="M42" s="136"/>
      <c r="N42" s="136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</row>
    <row r="43" spans="1:29" s="152" customFormat="1" ht="15" x14ac:dyDescent="0.25">
      <c r="A43" s="150"/>
      <c r="B43" s="103"/>
      <c r="C43" s="103" t="s">
        <v>145</v>
      </c>
      <c r="D43" s="103" t="s">
        <v>3</v>
      </c>
      <c r="E43" s="128">
        <v>210000</v>
      </c>
      <c r="F43" s="128">
        <v>310000</v>
      </c>
      <c r="G43" s="128">
        <v>237375</v>
      </c>
      <c r="H43" s="161">
        <f t="shared" ref="H43:H63" si="5">ROUND(G43/F43*100,1)</f>
        <v>76.599999999999994</v>
      </c>
      <c r="I43" s="131"/>
      <c r="J43" s="132"/>
      <c r="K43" s="137"/>
      <c r="L43" s="137"/>
      <c r="M43" s="137"/>
      <c r="N43" s="137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</row>
    <row r="44" spans="1:29" s="124" customFormat="1" ht="15" x14ac:dyDescent="0.25">
      <c r="A44" s="119"/>
      <c r="B44" s="104"/>
      <c r="C44" s="103" t="s">
        <v>105</v>
      </c>
      <c r="D44" s="104" t="s">
        <v>3</v>
      </c>
      <c r="E44" s="106">
        <v>15000</v>
      </c>
      <c r="F44" s="106">
        <v>15000</v>
      </c>
      <c r="G44" s="106">
        <v>14804.35</v>
      </c>
      <c r="H44" s="120">
        <f t="shared" si="5"/>
        <v>98.7</v>
      </c>
      <c r="I44" s="121"/>
      <c r="J44" s="122"/>
      <c r="K44" s="136"/>
      <c r="L44" s="136"/>
      <c r="M44" s="136"/>
      <c r="N44" s="136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</row>
    <row r="45" spans="1:29" s="124" customFormat="1" ht="15" x14ac:dyDescent="0.25">
      <c r="A45" s="119"/>
      <c r="B45" s="104" t="s">
        <v>22</v>
      </c>
      <c r="C45" s="103" t="s">
        <v>146</v>
      </c>
      <c r="D45" s="104" t="s">
        <v>3</v>
      </c>
      <c r="E45" s="106">
        <v>665000</v>
      </c>
      <c r="F45" s="128">
        <v>796090</v>
      </c>
      <c r="G45" s="106">
        <f>1440+728737</f>
        <v>730177</v>
      </c>
      <c r="H45" s="135">
        <f t="shared" si="5"/>
        <v>91.7</v>
      </c>
      <c r="I45" s="121"/>
      <c r="J45" s="122"/>
      <c r="K45" s="136"/>
      <c r="L45" s="136"/>
      <c r="M45" s="136"/>
      <c r="N45" s="136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</row>
    <row r="46" spans="1:29" s="124" customFormat="1" ht="15" x14ac:dyDescent="0.25">
      <c r="A46" s="119"/>
      <c r="B46" s="104" t="s">
        <v>22</v>
      </c>
      <c r="C46" s="165" t="s">
        <v>265</v>
      </c>
      <c r="D46" s="103" t="s">
        <v>3</v>
      </c>
      <c r="E46" s="106">
        <v>0</v>
      </c>
      <c r="F46" s="106">
        <v>276500</v>
      </c>
      <c r="G46" s="106">
        <v>246310</v>
      </c>
      <c r="H46" s="163">
        <f t="shared" si="5"/>
        <v>89.1</v>
      </c>
      <c r="I46" s="121"/>
      <c r="J46" s="122"/>
      <c r="K46" s="136"/>
      <c r="L46" s="136"/>
      <c r="M46" s="136"/>
      <c r="N46" s="136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</row>
    <row r="47" spans="1:29" s="124" customFormat="1" ht="15" x14ac:dyDescent="0.25">
      <c r="A47" s="119"/>
      <c r="B47" s="104" t="s">
        <v>22</v>
      </c>
      <c r="C47" s="165" t="s">
        <v>265</v>
      </c>
      <c r="D47" s="103" t="s">
        <v>3</v>
      </c>
      <c r="E47" s="128">
        <v>0</v>
      </c>
      <c r="F47" s="128">
        <v>314000</v>
      </c>
      <c r="G47" s="128">
        <v>314000</v>
      </c>
      <c r="H47" s="160">
        <f t="shared" si="5"/>
        <v>100</v>
      </c>
      <c r="I47" s="121"/>
      <c r="J47" s="122"/>
      <c r="K47" s="136"/>
      <c r="L47" s="136"/>
      <c r="M47" s="136"/>
      <c r="N47" s="136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</row>
    <row r="48" spans="1:29" s="124" customFormat="1" ht="14.25" x14ac:dyDescent="0.2">
      <c r="A48" s="119"/>
      <c r="B48" s="104" t="s">
        <v>22</v>
      </c>
      <c r="C48" s="154" t="s">
        <v>147</v>
      </c>
      <c r="D48" s="104"/>
      <c r="E48" s="135">
        <f>SUM(E49:E52)</f>
        <v>1788000</v>
      </c>
      <c r="F48" s="135">
        <f>SUM(F49:F52)</f>
        <v>1688000</v>
      </c>
      <c r="G48" s="135">
        <f>SUM(G49:G52)</f>
        <v>992934</v>
      </c>
      <c r="H48" s="135">
        <f t="shared" si="5"/>
        <v>58.8</v>
      </c>
      <c r="I48" s="139"/>
      <c r="J48" s="122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</row>
    <row r="49" spans="1:29" s="124" customFormat="1" ht="15" x14ac:dyDescent="0.25">
      <c r="A49" s="119"/>
      <c r="B49" s="104"/>
      <c r="C49" s="103" t="s">
        <v>148</v>
      </c>
      <c r="D49" s="104" t="s">
        <v>3</v>
      </c>
      <c r="E49" s="106">
        <v>700000</v>
      </c>
      <c r="F49" s="106">
        <v>560000</v>
      </c>
      <c r="G49" s="106">
        <v>553587</v>
      </c>
      <c r="H49" s="120">
        <f t="shared" si="5"/>
        <v>98.9</v>
      </c>
      <c r="I49" s="121"/>
      <c r="J49" s="122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</row>
    <row r="50" spans="1:29" s="124" customFormat="1" ht="15" x14ac:dyDescent="0.25">
      <c r="A50" s="119"/>
      <c r="B50" s="104"/>
      <c r="C50" s="125" t="s">
        <v>148</v>
      </c>
      <c r="D50" s="125" t="s">
        <v>3</v>
      </c>
      <c r="E50" s="126">
        <v>1088000</v>
      </c>
      <c r="F50" s="126">
        <v>1088000</v>
      </c>
      <c r="G50" s="126">
        <v>406505</v>
      </c>
      <c r="H50" s="126">
        <f t="shared" si="5"/>
        <v>37.4</v>
      </c>
      <c r="I50" s="121"/>
      <c r="J50" s="122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</row>
    <row r="51" spans="1:29" s="124" customFormat="1" ht="15" x14ac:dyDescent="0.25">
      <c r="A51" s="119"/>
      <c r="B51" s="104"/>
      <c r="C51" s="103" t="s">
        <v>149</v>
      </c>
      <c r="D51" s="104" t="s">
        <v>3</v>
      </c>
      <c r="E51" s="128">
        <v>0</v>
      </c>
      <c r="F51" s="128">
        <v>10000</v>
      </c>
      <c r="G51" s="128">
        <v>8773</v>
      </c>
      <c r="H51" s="128">
        <f t="shared" si="5"/>
        <v>87.7</v>
      </c>
      <c r="I51" s="121"/>
      <c r="J51" s="122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</row>
    <row r="52" spans="1:29" s="124" customFormat="1" ht="15" x14ac:dyDescent="0.25">
      <c r="A52" s="119"/>
      <c r="B52" s="104"/>
      <c r="C52" s="125" t="s">
        <v>149</v>
      </c>
      <c r="D52" s="125" t="s">
        <v>3</v>
      </c>
      <c r="E52" s="126">
        <v>0</v>
      </c>
      <c r="F52" s="126">
        <v>30000</v>
      </c>
      <c r="G52" s="126">
        <v>24069</v>
      </c>
      <c r="H52" s="126">
        <f t="shared" si="5"/>
        <v>80.2</v>
      </c>
      <c r="I52" s="121"/>
      <c r="J52" s="122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</row>
    <row r="53" spans="1:29" s="124" customFormat="1" ht="15" x14ac:dyDescent="0.25">
      <c r="A53" s="119"/>
      <c r="B53" s="104" t="s">
        <v>22</v>
      </c>
      <c r="C53" s="154" t="s">
        <v>311</v>
      </c>
      <c r="D53" s="103"/>
      <c r="E53" s="160">
        <f>E54</f>
        <v>0</v>
      </c>
      <c r="F53" s="160">
        <f>F54</f>
        <v>40000</v>
      </c>
      <c r="G53" s="160">
        <f>G54</f>
        <v>0</v>
      </c>
      <c r="H53" s="160">
        <f t="shared" si="5"/>
        <v>0</v>
      </c>
      <c r="I53" s="121"/>
      <c r="J53" s="122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</row>
    <row r="54" spans="1:29" s="124" customFormat="1" ht="15" x14ac:dyDescent="0.25">
      <c r="A54" s="119"/>
      <c r="B54" s="104"/>
      <c r="C54" s="103" t="s">
        <v>266</v>
      </c>
      <c r="D54" s="103" t="s">
        <v>3</v>
      </c>
      <c r="E54" s="128">
        <v>0</v>
      </c>
      <c r="F54" s="128">
        <v>40000</v>
      </c>
      <c r="G54" s="128">
        <v>0</v>
      </c>
      <c r="H54" s="128">
        <f t="shared" si="5"/>
        <v>0</v>
      </c>
      <c r="I54" s="121"/>
      <c r="J54" s="122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</row>
    <row r="55" spans="1:29" s="124" customFormat="1" ht="15" x14ac:dyDescent="0.25">
      <c r="A55" s="119"/>
      <c r="B55" s="104" t="s">
        <v>22</v>
      </c>
      <c r="C55" s="133" t="s">
        <v>150</v>
      </c>
      <c r="D55" s="133"/>
      <c r="E55" s="130">
        <f>SUM(E56,E57)</f>
        <v>20000</v>
      </c>
      <c r="F55" s="130">
        <f>SUM(F56,F57)</f>
        <v>20000</v>
      </c>
      <c r="G55" s="130">
        <f>SUM(G56,G57)</f>
        <v>3360</v>
      </c>
      <c r="H55" s="130">
        <f t="shared" si="5"/>
        <v>16.8</v>
      </c>
      <c r="I55" s="121"/>
      <c r="J55" s="122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</row>
    <row r="56" spans="1:29" s="124" customFormat="1" ht="15" x14ac:dyDescent="0.25">
      <c r="A56" s="119"/>
      <c r="B56" s="104"/>
      <c r="C56" s="104" t="s">
        <v>151</v>
      </c>
      <c r="D56" s="104" t="s">
        <v>3</v>
      </c>
      <c r="E56" s="106">
        <v>5000</v>
      </c>
      <c r="F56" s="106">
        <v>5000</v>
      </c>
      <c r="G56" s="106">
        <v>3360</v>
      </c>
      <c r="H56" s="120">
        <f t="shared" si="5"/>
        <v>67.2</v>
      </c>
      <c r="I56" s="131"/>
      <c r="J56" s="132"/>
      <c r="K56" s="151"/>
      <c r="L56" s="151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</row>
    <row r="57" spans="1:29" s="124" customFormat="1" ht="24" x14ac:dyDescent="0.25">
      <c r="A57" s="119"/>
      <c r="B57" s="104"/>
      <c r="C57" s="166" t="s">
        <v>152</v>
      </c>
      <c r="D57" s="104" t="s">
        <v>3</v>
      </c>
      <c r="E57" s="106">
        <v>15000</v>
      </c>
      <c r="F57" s="106">
        <v>15000</v>
      </c>
      <c r="G57" s="106">
        <v>0</v>
      </c>
      <c r="H57" s="120">
        <f t="shared" si="5"/>
        <v>0</v>
      </c>
      <c r="I57" s="131"/>
      <c r="J57" s="132"/>
      <c r="K57" s="132"/>
      <c r="L57" s="132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</row>
    <row r="58" spans="1:29" s="152" customFormat="1" ht="15" x14ac:dyDescent="0.25">
      <c r="A58" s="150"/>
      <c r="B58" s="103"/>
      <c r="C58" s="154" t="s">
        <v>153</v>
      </c>
      <c r="D58" s="154"/>
      <c r="E58" s="140">
        <f>SUM(E59:E60)</f>
        <v>96125</v>
      </c>
      <c r="F58" s="140">
        <f>SUM(F59:F60)</f>
        <v>96125</v>
      </c>
      <c r="G58" s="140">
        <f>SUM(G59:G60)</f>
        <v>96125</v>
      </c>
      <c r="H58" s="140">
        <f t="shared" si="5"/>
        <v>100</v>
      </c>
      <c r="I58" s="131"/>
      <c r="J58" s="132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</row>
    <row r="59" spans="1:29" s="124" customFormat="1" ht="15" x14ac:dyDescent="0.25">
      <c r="A59" s="119"/>
      <c r="B59" s="104" t="s">
        <v>267</v>
      </c>
      <c r="C59" s="104" t="s">
        <v>154</v>
      </c>
      <c r="D59" s="104" t="s">
        <v>4</v>
      </c>
      <c r="E59" s="106">
        <v>85000</v>
      </c>
      <c r="F59" s="106">
        <v>85000</v>
      </c>
      <c r="G59" s="106">
        <v>85000</v>
      </c>
      <c r="H59" s="106">
        <f t="shared" si="5"/>
        <v>100</v>
      </c>
      <c r="I59" s="121"/>
      <c r="J59" s="122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</row>
    <row r="60" spans="1:29" s="124" customFormat="1" ht="24" x14ac:dyDescent="0.25">
      <c r="A60" s="119"/>
      <c r="B60" s="104" t="s">
        <v>267</v>
      </c>
      <c r="C60" s="166" t="s">
        <v>155</v>
      </c>
      <c r="D60" s="104" t="s">
        <v>4</v>
      </c>
      <c r="E60" s="106">
        <v>11125</v>
      </c>
      <c r="F60" s="106">
        <v>11125</v>
      </c>
      <c r="G60" s="106">
        <v>11125</v>
      </c>
      <c r="H60" s="106">
        <f t="shared" si="5"/>
        <v>100</v>
      </c>
      <c r="I60" s="121"/>
      <c r="J60" s="122"/>
      <c r="K60" s="122"/>
      <c r="L60" s="122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</row>
    <row r="61" spans="1:29" s="124" customFormat="1" ht="15" x14ac:dyDescent="0.25">
      <c r="A61" s="119"/>
      <c r="B61" s="104"/>
      <c r="C61" s="133" t="s">
        <v>156</v>
      </c>
      <c r="D61" s="104"/>
      <c r="E61" s="135">
        <f>SUM(E62:E72)</f>
        <v>7931723</v>
      </c>
      <c r="F61" s="135">
        <f>SUM(F62:F72)</f>
        <v>2900604</v>
      </c>
      <c r="G61" s="135">
        <f>SUM(G62:G72)</f>
        <v>1855957.15</v>
      </c>
      <c r="H61" s="135">
        <f t="shared" si="5"/>
        <v>64</v>
      </c>
      <c r="I61" s="121"/>
      <c r="J61" s="122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</row>
    <row r="62" spans="1:29" s="124" customFormat="1" ht="24" x14ac:dyDescent="0.25">
      <c r="A62" s="119"/>
      <c r="B62" s="104" t="s">
        <v>25</v>
      </c>
      <c r="C62" s="167" t="s">
        <v>157</v>
      </c>
      <c r="D62" s="125" t="s">
        <v>4</v>
      </c>
      <c r="E62" s="126">
        <v>3400000</v>
      </c>
      <c r="F62" s="126">
        <v>1300000</v>
      </c>
      <c r="G62" s="126">
        <v>1090552</v>
      </c>
      <c r="H62" s="127">
        <f t="shared" si="5"/>
        <v>83.9</v>
      </c>
      <c r="I62" s="121"/>
      <c r="J62" s="122"/>
      <c r="K62" s="122"/>
      <c r="L62" s="122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</row>
    <row r="63" spans="1:29" s="124" customFormat="1" ht="24" x14ac:dyDescent="0.25">
      <c r="A63" s="119"/>
      <c r="B63" s="104" t="s">
        <v>22</v>
      </c>
      <c r="C63" s="166" t="s">
        <v>106</v>
      </c>
      <c r="D63" s="104" t="s">
        <v>3</v>
      </c>
      <c r="E63" s="106">
        <v>725238</v>
      </c>
      <c r="F63" s="106">
        <v>725238</v>
      </c>
      <c r="G63" s="106">
        <v>116878</v>
      </c>
      <c r="H63" s="120">
        <f t="shared" si="5"/>
        <v>16.100000000000001</v>
      </c>
      <c r="I63" s="121"/>
      <c r="J63" s="122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</row>
    <row r="64" spans="1:29" s="124" customFormat="1" ht="24" x14ac:dyDescent="0.25">
      <c r="A64" s="119"/>
      <c r="B64" s="104" t="s">
        <v>22</v>
      </c>
      <c r="C64" s="167" t="s">
        <v>106</v>
      </c>
      <c r="D64" s="167" t="s">
        <v>3</v>
      </c>
      <c r="E64" s="177">
        <v>2083485</v>
      </c>
      <c r="F64" s="167">
        <v>0</v>
      </c>
      <c r="G64" s="167">
        <v>0</v>
      </c>
      <c r="H64" s="178" t="s">
        <v>74</v>
      </c>
      <c r="I64" s="121"/>
      <c r="J64" s="122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</row>
    <row r="65" spans="1:29" s="124" customFormat="1" ht="15" x14ac:dyDescent="0.25">
      <c r="A65" s="119"/>
      <c r="B65" s="104" t="s">
        <v>25</v>
      </c>
      <c r="C65" s="167" t="s">
        <v>107</v>
      </c>
      <c r="D65" s="125" t="s">
        <v>3</v>
      </c>
      <c r="E65" s="126">
        <v>670000</v>
      </c>
      <c r="F65" s="126">
        <v>270000</v>
      </c>
      <c r="G65" s="126">
        <v>123005</v>
      </c>
      <c r="H65" s="126">
        <f>ROUND(G65/F65*100,1)</f>
        <v>45.6</v>
      </c>
      <c r="I65" s="121"/>
      <c r="J65" s="122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</row>
    <row r="66" spans="1:29" s="124" customFormat="1" ht="24.75" x14ac:dyDescent="0.25">
      <c r="A66" s="119"/>
      <c r="B66" s="104" t="s">
        <v>21</v>
      </c>
      <c r="C66" s="134" t="s">
        <v>308</v>
      </c>
      <c r="D66" s="104" t="s">
        <v>3</v>
      </c>
      <c r="E66" s="106">
        <v>562000</v>
      </c>
      <c r="F66" s="106">
        <v>0</v>
      </c>
      <c r="G66" s="106">
        <v>0</v>
      </c>
      <c r="H66" s="169" t="s">
        <v>74</v>
      </c>
      <c r="I66" s="121"/>
      <c r="J66" s="12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</row>
    <row r="67" spans="1:29" s="124" customFormat="1" ht="15" x14ac:dyDescent="0.25">
      <c r="A67" s="119"/>
      <c r="B67" s="104" t="s">
        <v>21</v>
      </c>
      <c r="C67" s="134" t="s">
        <v>158</v>
      </c>
      <c r="D67" s="104" t="s">
        <v>3</v>
      </c>
      <c r="E67" s="106">
        <v>284000</v>
      </c>
      <c r="F67" s="106">
        <f>371296-25000</f>
        <v>346296</v>
      </c>
      <c r="G67" s="106">
        <f>368770-G68</f>
        <v>345624</v>
      </c>
      <c r="H67" s="120">
        <f t="shared" ref="H67:H99" si="6">ROUND(G67/F67*100,1)</f>
        <v>99.8</v>
      </c>
      <c r="I67" s="121"/>
      <c r="J67" s="12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</row>
    <row r="68" spans="1:29" s="124" customFormat="1" ht="15" x14ac:dyDescent="0.25">
      <c r="A68" s="119"/>
      <c r="B68" s="104" t="s">
        <v>21</v>
      </c>
      <c r="C68" s="134" t="s">
        <v>297</v>
      </c>
      <c r="D68" s="104" t="s">
        <v>3</v>
      </c>
      <c r="E68" s="106">
        <v>0</v>
      </c>
      <c r="F68" s="128">
        <v>25000</v>
      </c>
      <c r="G68" s="106">
        <v>23146</v>
      </c>
      <c r="H68" s="120">
        <f t="shared" si="6"/>
        <v>92.6</v>
      </c>
      <c r="I68" s="121"/>
      <c r="J68" s="12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</row>
    <row r="69" spans="1:29" s="124" customFormat="1" ht="15" x14ac:dyDescent="0.25">
      <c r="A69" s="119"/>
      <c r="B69" s="104" t="s">
        <v>21</v>
      </c>
      <c r="C69" s="134" t="s">
        <v>159</v>
      </c>
      <c r="D69" s="104" t="s">
        <v>3</v>
      </c>
      <c r="E69" s="106">
        <v>100000</v>
      </c>
      <c r="F69" s="106">
        <v>120070</v>
      </c>
      <c r="G69" s="106">
        <v>80887.149999999994</v>
      </c>
      <c r="H69" s="120">
        <f t="shared" si="6"/>
        <v>67.400000000000006</v>
      </c>
      <c r="I69" s="121"/>
      <c r="J69" s="12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</row>
    <row r="70" spans="1:29" s="124" customFormat="1" ht="15" x14ac:dyDescent="0.25">
      <c r="A70" s="119"/>
      <c r="B70" s="104" t="s">
        <v>21</v>
      </c>
      <c r="C70" s="134" t="s">
        <v>108</v>
      </c>
      <c r="D70" s="104" t="s">
        <v>3</v>
      </c>
      <c r="E70" s="106">
        <v>37000</v>
      </c>
      <c r="F70" s="106">
        <v>44000</v>
      </c>
      <c r="G70" s="106">
        <v>44385</v>
      </c>
      <c r="H70" s="120">
        <f t="shared" si="6"/>
        <v>100.9</v>
      </c>
      <c r="I70" s="121"/>
      <c r="J70" s="122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</row>
    <row r="71" spans="1:29" s="124" customFormat="1" ht="15" x14ac:dyDescent="0.25">
      <c r="A71" s="119"/>
      <c r="B71" s="104" t="s">
        <v>21</v>
      </c>
      <c r="C71" s="134" t="s">
        <v>160</v>
      </c>
      <c r="D71" s="104" t="s">
        <v>3</v>
      </c>
      <c r="E71" s="106">
        <v>50000</v>
      </c>
      <c r="F71" s="106">
        <v>50000</v>
      </c>
      <c r="G71" s="106">
        <v>26250</v>
      </c>
      <c r="H71" s="120">
        <f t="shared" si="6"/>
        <v>52.5</v>
      </c>
      <c r="I71" s="121"/>
      <c r="J71" s="122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</row>
    <row r="72" spans="1:29" s="124" customFormat="1" ht="15" x14ac:dyDescent="0.25">
      <c r="A72" s="119"/>
      <c r="B72" s="104" t="s">
        <v>21</v>
      </c>
      <c r="C72" s="134" t="s">
        <v>109</v>
      </c>
      <c r="D72" s="104" t="s">
        <v>3</v>
      </c>
      <c r="E72" s="106">
        <v>20000</v>
      </c>
      <c r="F72" s="106">
        <v>20000</v>
      </c>
      <c r="G72" s="106">
        <v>5230</v>
      </c>
      <c r="H72" s="120">
        <f t="shared" si="6"/>
        <v>26.2</v>
      </c>
      <c r="I72" s="121"/>
      <c r="J72" s="122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</row>
    <row r="73" spans="1:29" s="124" customFormat="1" ht="15" x14ac:dyDescent="0.25">
      <c r="A73" s="119"/>
      <c r="B73" s="104"/>
      <c r="C73" s="141" t="s">
        <v>10</v>
      </c>
      <c r="D73" s="135"/>
      <c r="E73" s="135">
        <f>SUM(E74,E76)</f>
        <v>507000</v>
      </c>
      <c r="F73" s="135">
        <f>SUM(F74,F76)</f>
        <v>622000</v>
      </c>
      <c r="G73" s="135">
        <f>SUM(G74,G76)</f>
        <v>588177.80000000005</v>
      </c>
      <c r="H73" s="135">
        <f t="shared" si="6"/>
        <v>94.6</v>
      </c>
      <c r="I73" s="121"/>
      <c r="J73" s="122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</row>
    <row r="74" spans="1:29" s="152" customFormat="1" ht="15" x14ac:dyDescent="0.25">
      <c r="A74" s="150"/>
      <c r="B74" s="103" t="s">
        <v>22</v>
      </c>
      <c r="C74" s="140" t="s">
        <v>11</v>
      </c>
      <c r="D74" s="128"/>
      <c r="E74" s="160">
        <f>SUM(E75)</f>
        <v>12000</v>
      </c>
      <c r="F74" s="160">
        <f>SUM(F75)</f>
        <v>12000</v>
      </c>
      <c r="G74" s="128">
        <f>SUM(G75)</f>
        <v>12000</v>
      </c>
      <c r="H74" s="160">
        <f t="shared" si="6"/>
        <v>100</v>
      </c>
      <c r="I74" s="131"/>
      <c r="J74" s="132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</row>
    <row r="75" spans="1:29" s="152" customFormat="1" ht="15" x14ac:dyDescent="0.25">
      <c r="A75" s="150"/>
      <c r="B75" s="103"/>
      <c r="C75" s="128" t="s">
        <v>161</v>
      </c>
      <c r="D75" s="128" t="s">
        <v>4</v>
      </c>
      <c r="E75" s="128">
        <v>12000</v>
      </c>
      <c r="F75" s="128">
        <v>12000</v>
      </c>
      <c r="G75" s="128">
        <v>12000</v>
      </c>
      <c r="H75" s="161">
        <f t="shared" si="6"/>
        <v>100</v>
      </c>
      <c r="I75" s="131"/>
      <c r="J75" s="132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</row>
    <row r="76" spans="1:29" s="124" customFormat="1" ht="15" x14ac:dyDescent="0.25">
      <c r="A76" s="119"/>
      <c r="B76" s="104"/>
      <c r="C76" s="130" t="s">
        <v>162</v>
      </c>
      <c r="D76" s="106"/>
      <c r="E76" s="135">
        <f>SUM(E77:E86)</f>
        <v>495000</v>
      </c>
      <c r="F76" s="135">
        <f>SUM(F77:F86)</f>
        <v>610000</v>
      </c>
      <c r="G76" s="135">
        <f>SUM(G77:G86)</f>
        <v>576177.80000000005</v>
      </c>
      <c r="H76" s="135">
        <f t="shared" si="6"/>
        <v>94.5</v>
      </c>
      <c r="I76" s="121"/>
      <c r="J76" s="122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</row>
    <row r="77" spans="1:29" s="124" customFormat="1" ht="15" x14ac:dyDescent="0.25">
      <c r="A77" s="119"/>
      <c r="B77" s="104" t="s">
        <v>22</v>
      </c>
      <c r="C77" s="106" t="s">
        <v>163</v>
      </c>
      <c r="D77" s="106" t="s">
        <v>3</v>
      </c>
      <c r="E77" s="106">
        <v>285000</v>
      </c>
      <c r="F77" s="106">
        <v>285000</v>
      </c>
      <c r="G77" s="106">
        <v>267956</v>
      </c>
      <c r="H77" s="120">
        <f t="shared" si="6"/>
        <v>94</v>
      </c>
      <c r="I77" s="121"/>
      <c r="J77" s="122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</row>
    <row r="78" spans="1:29" s="124" customFormat="1" ht="15" x14ac:dyDescent="0.25">
      <c r="A78" s="119"/>
      <c r="B78" s="104" t="s">
        <v>22</v>
      </c>
      <c r="C78" s="106" t="s">
        <v>164</v>
      </c>
      <c r="D78" s="106" t="s">
        <v>3</v>
      </c>
      <c r="E78" s="106">
        <v>40000</v>
      </c>
      <c r="F78" s="106">
        <v>40000</v>
      </c>
      <c r="G78" s="106">
        <v>48266</v>
      </c>
      <c r="H78" s="120">
        <f t="shared" si="6"/>
        <v>120.7</v>
      </c>
      <c r="I78" s="121"/>
      <c r="J78" s="122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</row>
    <row r="79" spans="1:29" s="124" customFormat="1" ht="15" x14ac:dyDescent="0.25">
      <c r="A79" s="119"/>
      <c r="B79" s="104" t="s">
        <v>22</v>
      </c>
      <c r="C79" s="142" t="s">
        <v>165</v>
      </c>
      <c r="D79" s="142" t="s">
        <v>3</v>
      </c>
      <c r="E79" s="142">
        <v>40000</v>
      </c>
      <c r="F79" s="142">
        <v>40000</v>
      </c>
      <c r="G79" s="142">
        <v>46031</v>
      </c>
      <c r="H79" s="162">
        <f t="shared" si="6"/>
        <v>115.1</v>
      </c>
      <c r="I79" s="121"/>
      <c r="J79" s="122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</row>
    <row r="80" spans="1:29" s="124" customFormat="1" ht="15" x14ac:dyDescent="0.25">
      <c r="A80" s="119"/>
      <c r="B80" s="104" t="s">
        <v>22</v>
      </c>
      <c r="C80" s="106" t="s">
        <v>166</v>
      </c>
      <c r="D80" s="106" t="s">
        <v>3</v>
      </c>
      <c r="E80" s="106">
        <v>35000</v>
      </c>
      <c r="F80" s="106">
        <v>35000</v>
      </c>
      <c r="G80" s="106">
        <v>39096</v>
      </c>
      <c r="H80" s="120">
        <f t="shared" si="6"/>
        <v>111.7</v>
      </c>
      <c r="I80" s="121"/>
      <c r="J80" s="122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</row>
    <row r="81" spans="1:29" s="124" customFormat="1" ht="15" x14ac:dyDescent="0.25">
      <c r="A81" s="119"/>
      <c r="B81" s="104" t="s">
        <v>22</v>
      </c>
      <c r="C81" s="106" t="s">
        <v>167</v>
      </c>
      <c r="D81" s="106" t="s">
        <v>3</v>
      </c>
      <c r="E81" s="106">
        <v>30000</v>
      </c>
      <c r="F81" s="106">
        <v>30000</v>
      </c>
      <c r="G81" s="106">
        <v>24084</v>
      </c>
      <c r="H81" s="120">
        <f t="shared" si="6"/>
        <v>80.3</v>
      </c>
      <c r="I81" s="121"/>
      <c r="J81" s="122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</row>
    <row r="82" spans="1:29" s="124" customFormat="1" ht="15" x14ac:dyDescent="0.25">
      <c r="A82" s="119"/>
      <c r="B82" s="104" t="s">
        <v>22</v>
      </c>
      <c r="C82" s="106" t="s">
        <v>168</v>
      </c>
      <c r="D82" s="106" t="s">
        <v>3</v>
      </c>
      <c r="E82" s="106">
        <v>0</v>
      </c>
      <c r="F82" s="106">
        <v>25000</v>
      </c>
      <c r="G82" s="106">
        <v>3780</v>
      </c>
      <c r="H82" s="120">
        <f t="shared" si="6"/>
        <v>15.1</v>
      </c>
      <c r="I82" s="121"/>
      <c r="J82" s="122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</row>
    <row r="83" spans="1:29" s="124" customFormat="1" ht="15" x14ac:dyDescent="0.25">
      <c r="A83" s="119"/>
      <c r="B83" s="104" t="s">
        <v>22</v>
      </c>
      <c r="C83" s="106" t="s">
        <v>110</v>
      </c>
      <c r="D83" s="106" t="s">
        <v>3</v>
      </c>
      <c r="E83" s="106">
        <v>20000</v>
      </c>
      <c r="F83" s="106">
        <v>20000</v>
      </c>
      <c r="G83" s="106">
        <v>14568</v>
      </c>
      <c r="H83" s="120">
        <f t="shared" si="6"/>
        <v>72.8</v>
      </c>
      <c r="I83" s="121"/>
      <c r="J83" s="122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</row>
    <row r="84" spans="1:29" s="124" customFormat="1" ht="15" x14ac:dyDescent="0.25">
      <c r="A84" s="119"/>
      <c r="B84" s="104" t="s">
        <v>22</v>
      </c>
      <c r="C84" s="106" t="s">
        <v>169</v>
      </c>
      <c r="D84" s="106" t="s">
        <v>3</v>
      </c>
      <c r="E84" s="106">
        <v>0</v>
      </c>
      <c r="F84" s="106">
        <v>15000</v>
      </c>
      <c r="G84" s="106">
        <v>12616.8</v>
      </c>
      <c r="H84" s="120">
        <f t="shared" si="6"/>
        <v>84.1</v>
      </c>
      <c r="I84" s="121"/>
      <c r="J84" s="122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</row>
    <row r="85" spans="1:29" s="124" customFormat="1" ht="15" x14ac:dyDescent="0.25">
      <c r="A85" s="119"/>
      <c r="B85" s="104" t="s">
        <v>22</v>
      </c>
      <c r="C85" s="106" t="s">
        <v>268</v>
      </c>
      <c r="D85" s="106" t="s">
        <v>3</v>
      </c>
      <c r="E85" s="106">
        <v>0</v>
      </c>
      <c r="F85" s="106">
        <v>100000</v>
      </c>
      <c r="G85" s="106">
        <v>104040</v>
      </c>
      <c r="H85" s="120">
        <f t="shared" si="6"/>
        <v>104</v>
      </c>
      <c r="I85" s="121"/>
      <c r="J85" s="122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</row>
    <row r="86" spans="1:29" s="124" customFormat="1" ht="15" x14ac:dyDescent="0.25">
      <c r="A86" s="119"/>
      <c r="B86" s="104" t="s">
        <v>22</v>
      </c>
      <c r="C86" s="106" t="s">
        <v>170</v>
      </c>
      <c r="D86" s="106" t="s">
        <v>3</v>
      </c>
      <c r="E86" s="106">
        <v>45000</v>
      </c>
      <c r="F86" s="106">
        <v>20000</v>
      </c>
      <c r="G86" s="106">
        <v>15740</v>
      </c>
      <c r="H86" s="120">
        <f t="shared" si="6"/>
        <v>78.7</v>
      </c>
      <c r="I86" s="121"/>
      <c r="J86" s="122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</row>
    <row r="87" spans="1:29" s="124" customFormat="1" ht="15" x14ac:dyDescent="0.25">
      <c r="A87" s="119"/>
      <c r="B87" s="104"/>
      <c r="C87" s="135" t="s">
        <v>171</v>
      </c>
      <c r="D87" s="135"/>
      <c r="E87" s="135">
        <f>SUM(E88,E98,E102,E107)</f>
        <v>1502025</v>
      </c>
      <c r="F87" s="135">
        <f>SUM(F88,F98,F102,F107)</f>
        <v>2149335</v>
      </c>
      <c r="G87" s="135">
        <f>SUM(G88,G98,G102,G107)</f>
        <v>1781529</v>
      </c>
      <c r="H87" s="135">
        <f t="shared" si="6"/>
        <v>82.9</v>
      </c>
      <c r="I87" s="121"/>
      <c r="J87" s="122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</row>
    <row r="88" spans="1:29" s="124" customFormat="1" ht="15" x14ac:dyDescent="0.25">
      <c r="A88" s="119"/>
      <c r="B88" s="104"/>
      <c r="C88" s="130" t="s">
        <v>12</v>
      </c>
      <c r="D88" s="130"/>
      <c r="E88" s="130">
        <f>SUM(E89:E97)</f>
        <v>1240000</v>
      </c>
      <c r="F88" s="130">
        <f>SUM(F89:F97)</f>
        <v>1591630</v>
      </c>
      <c r="G88" s="130">
        <f>SUM(G89:G97)</f>
        <v>1223121</v>
      </c>
      <c r="H88" s="130">
        <f t="shared" si="6"/>
        <v>76.8</v>
      </c>
      <c r="I88" s="121"/>
      <c r="J88" s="122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</row>
    <row r="89" spans="1:29" s="124" customFormat="1" ht="15" x14ac:dyDescent="0.25">
      <c r="A89" s="119"/>
      <c r="B89" s="104" t="s">
        <v>21</v>
      </c>
      <c r="C89" s="106" t="s">
        <v>172</v>
      </c>
      <c r="D89" s="106" t="s">
        <v>3</v>
      </c>
      <c r="E89" s="106">
        <v>150000</v>
      </c>
      <c r="F89" s="106">
        <v>375000</v>
      </c>
      <c r="G89" s="106">
        <v>358835</v>
      </c>
      <c r="H89" s="106">
        <f t="shared" si="6"/>
        <v>95.7</v>
      </c>
      <c r="I89" s="121"/>
      <c r="J89" s="122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</row>
    <row r="90" spans="1:29" s="124" customFormat="1" ht="25.5" customHeight="1" x14ac:dyDescent="0.25">
      <c r="A90" s="119"/>
      <c r="B90" s="104" t="s">
        <v>21</v>
      </c>
      <c r="C90" s="143" t="s">
        <v>173</v>
      </c>
      <c r="D90" s="106" t="s">
        <v>3</v>
      </c>
      <c r="E90" s="106">
        <v>700000</v>
      </c>
      <c r="F90" s="106">
        <v>700000</v>
      </c>
      <c r="G90" s="106">
        <v>474359</v>
      </c>
      <c r="H90" s="106">
        <f t="shared" si="6"/>
        <v>67.8</v>
      </c>
      <c r="I90" s="121"/>
      <c r="J90" s="122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</row>
    <row r="91" spans="1:29" s="124" customFormat="1" ht="25.5" customHeight="1" x14ac:dyDescent="0.25">
      <c r="A91" s="119"/>
      <c r="B91" s="104" t="s">
        <v>21</v>
      </c>
      <c r="C91" s="144" t="s">
        <v>174</v>
      </c>
      <c r="D91" s="106" t="s">
        <v>3</v>
      </c>
      <c r="E91" s="106">
        <v>0</v>
      </c>
      <c r="F91" s="106">
        <v>250000</v>
      </c>
      <c r="G91" s="106">
        <v>219336</v>
      </c>
      <c r="H91" s="106">
        <f t="shared" si="6"/>
        <v>87.7</v>
      </c>
      <c r="I91" s="121"/>
      <c r="J91" s="122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</row>
    <row r="92" spans="1:29" s="124" customFormat="1" ht="15" x14ac:dyDescent="0.25">
      <c r="A92" s="119"/>
      <c r="B92" s="104" t="s">
        <v>21</v>
      </c>
      <c r="C92" s="144" t="s">
        <v>174</v>
      </c>
      <c r="D92" s="106" t="s">
        <v>4</v>
      </c>
      <c r="E92" s="106">
        <v>310000</v>
      </c>
      <c r="F92" s="106">
        <v>60000</v>
      </c>
      <c r="G92" s="106">
        <v>12000</v>
      </c>
      <c r="H92" s="106">
        <f t="shared" si="6"/>
        <v>20</v>
      </c>
      <c r="I92" s="121"/>
      <c r="J92" s="121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</row>
    <row r="93" spans="1:29" s="124" customFormat="1" ht="15" x14ac:dyDescent="0.25">
      <c r="A93" s="119"/>
      <c r="B93" s="104" t="s">
        <v>21</v>
      </c>
      <c r="C93" s="128" t="s">
        <v>175</v>
      </c>
      <c r="D93" s="106" t="s">
        <v>3</v>
      </c>
      <c r="E93" s="106">
        <v>80000</v>
      </c>
      <c r="F93" s="106">
        <v>105000</v>
      </c>
      <c r="G93" s="106">
        <v>95409</v>
      </c>
      <c r="H93" s="106">
        <f t="shared" si="6"/>
        <v>90.9</v>
      </c>
      <c r="I93" s="121"/>
      <c r="J93" s="121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</row>
    <row r="94" spans="1:29" s="124" customFormat="1" ht="15" x14ac:dyDescent="0.25">
      <c r="A94" s="119"/>
      <c r="B94" s="104" t="s">
        <v>21</v>
      </c>
      <c r="C94" s="128" t="s">
        <v>269</v>
      </c>
      <c r="D94" s="106" t="s">
        <v>3</v>
      </c>
      <c r="E94" s="106">
        <v>0</v>
      </c>
      <c r="F94" s="106">
        <v>21000</v>
      </c>
      <c r="G94" s="106">
        <v>20700</v>
      </c>
      <c r="H94" s="106">
        <f t="shared" si="6"/>
        <v>98.6</v>
      </c>
      <c r="I94" s="121"/>
      <c r="J94" s="121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</row>
    <row r="95" spans="1:29" s="124" customFormat="1" ht="15" x14ac:dyDescent="0.25">
      <c r="A95" s="119"/>
      <c r="B95" s="104" t="s">
        <v>21</v>
      </c>
      <c r="C95" s="128" t="s">
        <v>270</v>
      </c>
      <c r="D95" s="106" t="s">
        <v>3</v>
      </c>
      <c r="E95" s="106">
        <v>0</v>
      </c>
      <c r="F95" s="106">
        <v>15000</v>
      </c>
      <c r="G95" s="106">
        <v>2643</v>
      </c>
      <c r="H95" s="106">
        <f t="shared" si="6"/>
        <v>17.600000000000001</v>
      </c>
      <c r="I95" s="121"/>
      <c r="J95" s="121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</row>
    <row r="96" spans="1:29" s="124" customFormat="1" ht="15" x14ac:dyDescent="0.25">
      <c r="A96" s="119"/>
      <c r="B96" s="104" t="s">
        <v>21</v>
      </c>
      <c r="C96" s="126" t="s">
        <v>270</v>
      </c>
      <c r="D96" s="126" t="s">
        <v>3</v>
      </c>
      <c r="E96" s="126">
        <v>0</v>
      </c>
      <c r="F96" s="126">
        <v>55630</v>
      </c>
      <c r="G96" s="126">
        <v>30089</v>
      </c>
      <c r="H96" s="126">
        <f t="shared" si="6"/>
        <v>54.1</v>
      </c>
      <c r="I96" s="121"/>
      <c r="J96" s="121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</row>
    <row r="97" spans="1:29" s="124" customFormat="1" ht="15" x14ac:dyDescent="0.25">
      <c r="A97" s="119"/>
      <c r="B97" s="104" t="s">
        <v>21</v>
      </c>
      <c r="C97" s="128" t="s">
        <v>271</v>
      </c>
      <c r="D97" s="106" t="s">
        <v>3</v>
      </c>
      <c r="E97" s="106">
        <v>0</v>
      </c>
      <c r="F97" s="106">
        <v>10000</v>
      </c>
      <c r="G97" s="106">
        <v>9750</v>
      </c>
      <c r="H97" s="106">
        <f t="shared" si="6"/>
        <v>97.5</v>
      </c>
      <c r="I97" s="121"/>
      <c r="J97" s="122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</row>
    <row r="98" spans="1:29" s="124" customFormat="1" ht="15" x14ac:dyDescent="0.25">
      <c r="A98" s="119"/>
      <c r="B98" s="104"/>
      <c r="C98" s="140" t="s">
        <v>111</v>
      </c>
      <c r="D98" s="106"/>
      <c r="E98" s="135">
        <f>SUM(E99)</f>
        <v>97625</v>
      </c>
      <c r="F98" s="135">
        <f>SUM(F99,F101)</f>
        <v>103305</v>
      </c>
      <c r="G98" s="135">
        <f>SUM(G99,G101,G100)</f>
        <v>103305</v>
      </c>
      <c r="H98" s="135">
        <f t="shared" si="6"/>
        <v>100</v>
      </c>
      <c r="I98" s="121"/>
      <c r="J98" s="122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</row>
    <row r="99" spans="1:29" s="124" customFormat="1" ht="15" x14ac:dyDescent="0.25">
      <c r="A99" s="119"/>
      <c r="B99" s="104" t="s">
        <v>22</v>
      </c>
      <c r="C99" s="128" t="s">
        <v>176</v>
      </c>
      <c r="D99" s="106" t="s">
        <v>3</v>
      </c>
      <c r="E99" s="106">
        <v>97625</v>
      </c>
      <c r="F99" s="106">
        <v>97625</v>
      </c>
      <c r="G99" s="106">
        <v>0</v>
      </c>
      <c r="H99" s="120">
        <f t="shared" si="6"/>
        <v>0</v>
      </c>
      <c r="I99" s="121"/>
      <c r="J99" s="122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</row>
    <row r="100" spans="1:29" s="124" customFormat="1" ht="15" x14ac:dyDescent="0.25">
      <c r="A100" s="119"/>
      <c r="B100" s="104"/>
      <c r="C100" s="128" t="s">
        <v>310</v>
      </c>
      <c r="D100" s="106" t="s">
        <v>3</v>
      </c>
      <c r="E100" s="106">
        <v>0</v>
      </c>
      <c r="F100" s="106">
        <v>0</v>
      </c>
      <c r="G100" s="106">
        <v>97625</v>
      </c>
      <c r="H100" s="169" t="s">
        <v>74</v>
      </c>
      <c r="I100" s="121"/>
      <c r="J100" s="122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</row>
    <row r="101" spans="1:29" s="124" customFormat="1" ht="15" x14ac:dyDescent="0.25">
      <c r="A101" s="119"/>
      <c r="B101" s="104" t="s">
        <v>22</v>
      </c>
      <c r="C101" s="128" t="s">
        <v>177</v>
      </c>
      <c r="D101" s="106" t="s">
        <v>4</v>
      </c>
      <c r="E101" s="106">
        <v>0</v>
      </c>
      <c r="F101" s="106">
        <v>5680</v>
      </c>
      <c r="G101" s="106">
        <v>5680</v>
      </c>
      <c r="H101" s="120">
        <f>ROUND(G101/F101*100,1)</f>
        <v>100</v>
      </c>
      <c r="I101" s="121"/>
      <c r="J101" s="122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</row>
    <row r="102" spans="1:29" s="124" customFormat="1" ht="18" customHeight="1" x14ac:dyDescent="0.25">
      <c r="A102" s="119"/>
      <c r="B102" s="104"/>
      <c r="C102" s="140" t="s">
        <v>13</v>
      </c>
      <c r="D102" s="135"/>
      <c r="E102" s="130">
        <f>SUM(E103:E106)</f>
        <v>105000</v>
      </c>
      <c r="F102" s="130">
        <f>SUM(F103:F106)</f>
        <v>365000</v>
      </c>
      <c r="G102" s="130">
        <f>SUM(G103:G106)</f>
        <v>363277</v>
      </c>
      <c r="H102" s="130">
        <f>ROUND(G102/F102*100,1)</f>
        <v>99.5</v>
      </c>
      <c r="I102" s="121"/>
      <c r="J102" s="122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</row>
    <row r="103" spans="1:29" s="124" customFormat="1" ht="15" x14ac:dyDescent="0.25">
      <c r="A103" s="119"/>
      <c r="B103" s="104" t="s">
        <v>22</v>
      </c>
      <c r="C103" s="106" t="s">
        <v>178</v>
      </c>
      <c r="D103" s="106" t="s">
        <v>3</v>
      </c>
      <c r="E103" s="106">
        <v>60000</v>
      </c>
      <c r="F103" s="106">
        <v>60000</v>
      </c>
      <c r="G103" s="106">
        <v>50259</v>
      </c>
      <c r="H103" s="106">
        <f>ROUND(G103/F103*100,1)</f>
        <v>83.8</v>
      </c>
      <c r="I103" s="121"/>
      <c r="J103" s="122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</row>
    <row r="104" spans="1:29" s="124" customFormat="1" ht="15" x14ac:dyDescent="0.25">
      <c r="A104" s="119"/>
      <c r="B104" s="104" t="s">
        <v>22</v>
      </c>
      <c r="C104" s="106" t="s">
        <v>272</v>
      </c>
      <c r="D104" s="106" t="s">
        <v>3</v>
      </c>
      <c r="E104" s="106">
        <v>0</v>
      </c>
      <c r="F104" s="106">
        <v>0</v>
      </c>
      <c r="G104" s="106">
        <v>1404</v>
      </c>
      <c r="H104" s="170" t="s">
        <v>74</v>
      </c>
      <c r="I104" s="121"/>
      <c r="J104" s="122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</row>
    <row r="105" spans="1:29" s="124" customFormat="1" ht="15" x14ac:dyDescent="0.25">
      <c r="A105" s="119"/>
      <c r="B105" s="104" t="s">
        <v>22</v>
      </c>
      <c r="C105" s="106" t="s">
        <v>273</v>
      </c>
      <c r="D105" s="106" t="s">
        <v>3</v>
      </c>
      <c r="E105" s="106">
        <v>0</v>
      </c>
      <c r="F105" s="106">
        <v>126000</v>
      </c>
      <c r="G105" s="106">
        <v>138633</v>
      </c>
      <c r="H105" s="106">
        <f t="shared" ref="H105:H120" si="7">ROUND(G105/F105*100,1)</f>
        <v>110</v>
      </c>
      <c r="I105" s="121"/>
      <c r="J105" s="122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</row>
    <row r="106" spans="1:29" s="124" customFormat="1" ht="15" x14ac:dyDescent="0.25">
      <c r="A106" s="119"/>
      <c r="B106" s="104" t="s">
        <v>22</v>
      </c>
      <c r="C106" s="106" t="s">
        <v>112</v>
      </c>
      <c r="D106" s="106" t="s">
        <v>3</v>
      </c>
      <c r="E106" s="106">
        <v>45000</v>
      </c>
      <c r="F106" s="106">
        <v>179000</v>
      </c>
      <c r="G106" s="106">
        <v>172981</v>
      </c>
      <c r="H106" s="106">
        <f t="shared" si="7"/>
        <v>96.6</v>
      </c>
      <c r="I106" s="121"/>
      <c r="J106" s="122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</row>
    <row r="107" spans="1:29" s="124" customFormat="1" ht="15" x14ac:dyDescent="0.25">
      <c r="A107" s="119"/>
      <c r="B107" s="104"/>
      <c r="C107" s="130" t="s">
        <v>179</v>
      </c>
      <c r="D107" s="130"/>
      <c r="E107" s="130">
        <f>SUM(E108:E109)</f>
        <v>59400</v>
      </c>
      <c r="F107" s="130">
        <f>SUM(F108:F109)</f>
        <v>89400</v>
      </c>
      <c r="G107" s="130">
        <f>SUM(G108:G109)</f>
        <v>91826</v>
      </c>
      <c r="H107" s="130">
        <f t="shared" si="7"/>
        <v>102.7</v>
      </c>
      <c r="I107" s="121"/>
      <c r="J107" s="122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</row>
    <row r="108" spans="1:29" s="124" customFormat="1" ht="15" x14ac:dyDescent="0.25">
      <c r="A108" s="119"/>
      <c r="B108" s="104" t="s">
        <v>22</v>
      </c>
      <c r="C108" s="106" t="s">
        <v>180</v>
      </c>
      <c r="D108" s="106" t="s">
        <v>3</v>
      </c>
      <c r="E108" s="106">
        <v>59400</v>
      </c>
      <c r="F108" s="106">
        <v>59400</v>
      </c>
      <c r="G108" s="106">
        <v>62243</v>
      </c>
      <c r="H108" s="106">
        <f t="shared" si="7"/>
        <v>104.8</v>
      </c>
      <c r="I108" s="121"/>
      <c r="J108" s="122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</row>
    <row r="109" spans="1:29" s="124" customFormat="1" ht="15" x14ac:dyDescent="0.25">
      <c r="A109" s="119"/>
      <c r="B109" s="104" t="s">
        <v>22</v>
      </c>
      <c r="C109" s="106" t="s">
        <v>274</v>
      </c>
      <c r="D109" s="106" t="s">
        <v>3</v>
      </c>
      <c r="E109" s="106">
        <v>0</v>
      </c>
      <c r="F109" s="106">
        <v>30000</v>
      </c>
      <c r="G109" s="106">
        <v>29583</v>
      </c>
      <c r="H109" s="106">
        <f t="shared" si="7"/>
        <v>98.6</v>
      </c>
      <c r="I109" s="121"/>
      <c r="J109" s="122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</row>
    <row r="110" spans="1:29" s="124" customFormat="1" ht="15" x14ac:dyDescent="0.25">
      <c r="A110" s="119"/>
      <c r="B110" s="104"/>
      <c r="C110" s="135" t="s">
        <v>14</v>
      </c>
      <c r="D110" s="135"/>
      <c r="E110" s="135">
        <f>SUM(E111,E124,E134,E137,E139,E145,E154,E159,E161)</f>
        <v>1471925</v>
      </c>
      <c r="F110" s="135">
        <f>SUM(F111,F124,F134,F137,F139,F145,F154,F159,F161)</f>
        <v>1519585</v>
      </c>
      <c r="G110" s="135">
        <f>SUM(G111,G124,G134,G137,G139,G145,G154,G159,G161,G156)</f>
        <v>1282120.5</v>
      </c>
      <c r="H110" s="135">
        <f t="shared" si="7"/>
        <v>84.4</v>
      </c>
      <c r="I110" s="121"/>
      <c r="J110" s="122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</row>
    <row r="111" spans="1:29" s="124" customFormat="1" ht="15" x14ac:dyDescent="0.25">
      <c r="A111" s="119"/>
      <c r="B111" s="104"/>
      <c r="C111" s="130" t="s">
        <v>15</v>
      </c>
      <c r="D111" s="106"/>
      <c r="E111" s="130">
        <f>SUM(E112,E113,E114,E117:E123)</f>
        <v>192240</v>
      </c>
      <c r="F111" s="130">
        <f>SUM(F112,F113,F114,F117:F123)</f>
        <v>346240</v>
      </c>
      <c r="G111" s="130">
        <f>SUM(G112,G113,G114,G117:G123)</f>
        <v>446327</v>
      </c>
      <c r="H111" s="130">
        <f t="shared" si="7"/>
        <v>128.9</v>
      </c>
      <c r="I111" s="121"/>
      <c r="J111" s="122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</row>
    <row r="112" spans="1:29" s="124" customFormat="1" ht="15" x14ac:dyDescent="0.25">
      <c r="A112" s="119"/>
      <c r="B112" s="104" t="s">
        <v>23</v>
      </c>
      <c r="C112" s="106" t="s">
        <v>181</v>
      </c>
      <c r="D112" s="106" t="s">
        <v>4</v>
      </c>
      <c r="E112" s="106">
        <v>77558</v>
      </c>
      <c r="F112" s="106">
        <v>77558</v>
      </c>
      <c r="G112" s="106">
        <v>77558</v>
      </c>
      <c r="H112" s="106">
        <f t="shared" si="7"/>
        <v>100</v>
      </c>
      <c r="I112" s="121"/>
      <c r="J112" s="122"/>
      <c r="K112" s="122"/>
      <c r="L112" s="122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</row>
    <row r="113" spans="1:29" s="124" customFormat="1" ht="15" x14ac:dyDescent="0.25">
      <c r="A113" s="119"/>
      <c r="B113" s="104" t="s">
        <v>23</v>
      </c>
      <c r="C113" s="106" t="s">
        <v>182</v>
      </c>
      <c r="D113" s="106" t="s">
        <v>4</v>
      </c>
      <c r="E113" s="106">
        <v>77622</v>
      </c>
      <c r="F113" s="106">
        <v>77622</v>
      </c>
      <c r="G113" s="106">
        <v>77622</v>
      </c>
      <c r="H113" s="106">
        <f t="shared" si="7"/>
        <v>100</v>
      </c>
      <c r="I113" s="121"/>
      <c r="J113" s="122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</row>
    <row r="114" spans="1:29" s="124" customFormat="1" ht="15" x14ac:dyDescent="0.25">
      <c r="A114" s="119"/>
      <c r="B114" s="104" t="s">
        <v>184</v>
      </c>
      <c r="C114" s="106" t="s">
        <v>183</v>
      </c>
      <c r="D114" s="106"/>
      <c r="E114" s="106">
        <f>SUM(E115)</f>
        <v>5060</v>
      </c>
      <c r="F114" s="106">
        <f>SUM(F115:F116)</f>
        <v>22060</v>
      </c>
      <c r="G114" s="106">
        <f>SUM(G115:G116)</f>
        <v>21711</v>
      </c>
      <c r="H114" s="106">
        <f t="shared" si="7"/>
        <v>98.4</v>
      </c>
      <c r="I114" s="121"/>
      <c r="J114" s="122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</row>
    <row r="115" spans="1:29" s="124" customFormat="1" ht="15" x14ac:dyDescent="0.25">
      <c r="A115" s="119"/>
      <c r="B115" s="104"/>
      <c r="C115" s="149" t="s">
        <v>275</v>
      </c>
      <c r="D115" s="106" t="s">
        <v>4</v>
      </c>
      <c r="E115" s="106">
        <v>5060</v>
      </c>
      <c r="F115" s="106">
        <v>5060</v>
      </c>
      <c r="G115" s="106">
        <v>5060</v>
      </c>
      <c r="H115" s="120">
        <f t="shared" si="7"/>
        <v>100</v>
      </c>
      <c r="I115" s="121"/>
      <c r="J115" s="122"/>
      <c r="K115" s="122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</row>
    <row r="116" spans="1:29" s="124" customFormat="1" ht="15" x14ac:dyDescent="0.25">
      <c r="A116" s="119"/>
      <c r="B116" s="104"/>
      <c r="C116" s="157" t="s">
        <v>276</v>
      </c>
      <c r="D116" s="106" t="s">
        <v>4</v>
      </c>
      <c r="E116" s="106">
        <v>0</v>
      </c>
      <c r="F116" s="106">
        <v>17000</v>
      </c>
      <c r="G116" s="106">
        <f>-349+17000</f>
        <v>16651</v>
      </c>
      <c r="H116" s="120">
        <f t="shared" si="7"/>
        <v>97.9</v>
      </c>
      <c r="I116" s="121"/>
      <c r="J116" s="122"/>
      <c r="K116" s="122"/>
      <c r="L116" s="122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</row>
    <row r="117" spans="1:29" s="124" customFormat="1" ht="15" x14ac:dyDescent="0.25">
      <c r="A117" s="119"/>
      <c r="B117" s="104" t="s">
        <v>21</v>
      </c>
      <c r="C117" s="106" t="s">
        <v>185</v>
      </c>
      <c r="D117" s="104" t="s">
        <v>3</v>
      </c>
      <c r="E117" s="106">
        <v>15000</v>
      </c>
      <c r="F117" s="128">
        <v>75000</v>
      </c>
      <c r="G117" s="106">
        <v>75179</v>
      </c>
      <c r="H117" s="106">
        <f t="shared" si="7"/>
        <v>100.2</v>
      </c>
      <c r="I117" s="121"/>
      <c r="J117" s="122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</row>
    <row r="118" spans="1:29" s="124" customFormat="1" ht="15" x14ac:dyDescent="0.25">
      <c r="A118" s="119"/>
      <c r="B118" s="104" t="s">
        <v>21</v>
      </c>
      <c r="C118" s="106" t="s">
        <v>277</v>
      </c>
      <c r="D118" s="104" t="s">
        <v>4</v>
      </c>
      <c r="E118" s="106">
        <v>0</v>
      </c>
      <c r="F118" s="128">
        <v>17000</v>
      </c>
      <c r="G118" s="106">
        <v>15080</v>
      </c>
      <c r="H118" s="106">
        <f t="shared" si="7"/>
        <v>88.7</v>
      </c>
      <c r="I118" s="121"/>
      <c r="J118" s="122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</row>
    <row r="119" spans="1:29" s="124" customFormat="1" ht="15" x14ac:dyDescent="0.25">
      <c r="A119" s="119"/>
      <c r="B119" s="104" t="s">
        <v>21</v>
      </c>
      <c r="C119" s="106" t="s">
        <v>278</v>
      </c>
      <c r="D119" s="104" t="s">
        <v>3</v>
      </c>
      <c r="E119" s="106">
        <v>0</v>
      </c>
      <c r="F119" s="128">
        <v>60000</v>
      </c>
      <c r="G119" s="106">
        <v>59977</v>
      </c>
      <c r="H119" s="106">
        <f t="shared" si="7"/>
        <v>100</v>
      </c>
      <c r="I119" s="121"/>
      <c r="J119" s="122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</row>
    <row r="120" spans="1:29" s="124" customFormat="1" ht="15" x14ac:dyDescent="0.25">
      <c r="A120" s="119"/>
      <c r="B120" s="104" t="s">
        <v>21</v>
      </c>
      <c r="C120" s="106" t="s">
        <v>186</v>
      </c>
      <c r="D120" s="104" t="s">
        <v>4</v>
      </c>
      <c r="E120" s="106">
        <v>10000</v>
      </c>
      <c r="F120" s="106">
        <v>10000</v>
      </c>
      <c r="G120" s="106">
        <v>0</v>
      </c>
      <c r="H120" s="106">
        <f t="shared" si="7"/>
        <v>0</v>
      </c>
      <c r="I120" s="121"/>
      <c r="J120" s="122"/>
      <c r="K120" s="122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</row>
    <row r="121" spans="1:29" s="124" customFormat="1" ht="15" x14ac:dyDescent="0.25">
      <c r="A121" s="119"/>
      <c r="B121" s="104" t="s">
        <v>184</v>
      </c>
      <c r="C121" s="106" t="s">
        <v>302</v>
      </c>
      <c r="D121" s="104" t="s">
        <v>4</v>
      </c>
      <c r="E121" s="106">
        <v>0</v>
      </c>
      <c r="F121" s="106">
        <v>0</v>
      </c>
      <c r="G121" s="106">
        <v>112200</v>
      </c>
      <c r="H121" s="170" t="s">
        <v>74</v>
      </c>
      <c r="I121" s="121"/>
      <c r="J121" s="122"/>
      <c r="K121" s="122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</row>
    <row r="122" spans="1:29" s="124" customFormat="1" ht="15" x14ac:dyDescent="0.25">
      <c r="A122" s="119"/>
      <c r="B122" s="104" t="s">
        <v>184</v>
      </c>
      <c r="C122" s="106" t="s">
        <v>187</v>
      </c>
      <c r="D122" s="104" t="s">
        <v>4</v>
      </c>
      <c r="E122" s="106">
        <v>4000</v>
      </c>
      <c r="F122" s="106">
        <v>4000</v>
      </c>
      <c r="G122" s="128">
        <v>4000</v>
      </c>
      <c r="H122" s="128">
        <f t="shared" ref="H122:H141" si="8">ROUND(G122/F122*100,1)</f>
        <v>100</v>
      </c>
      <c r="I122" s="121"/>
      <c r="J122" s="122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</row>
    <row r="123" spans="1:29" s="124" customFormat="1" ht="15" x14ac:dyDescent="0.25">
      <c r="A123" s="119"/>
      <c r="B123" s="104" t="s">
        <v>184</v>
      </c>
      <c r="C123" s="106" t="s">
        <v>188</v>
      </c>
      <c r="D123" s="104" t="s">
        <v>4</v>
      </c>
      <c r="E123" s="106">
        <v>3000</v>
      </c>
      <c r="F123" s="106">
        <v>3000</v>
      </c>
      <c r="G123" s="128">
        <v>3000</v>
      </c>
      <c r="H123" s="128">
        <f t="shared" si="8"/>
        <v>100</v>
      </c>
      <c r="I123" s="121"/>
      <c r="J123" s="122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</row>
    <row r="124" spans="1:29" s="124" customFormat="1" ht="15" x14ac:dyDescent="0.25">
      <c r="A124" s="119"/>
      <c r="B124" s="104"/>
      <c r="C124" s="130" t="s">
        <v>189</v>
      </c>
      <c r="D124" s="104"/>
      <c r="E124" s="130">
        <f>SUM(E125)</f>
        <v>412600</v>
      </c>
      <c r="F124" s="130">
        <f>SUM(F125)</f>
        <v>632600</v>
      </c>
      <c r="G124" s="130">
        <f>SUM(G125)</f>
        <v>466869</v>
      </c>
      <c r="H124" s="130">
        <f t="shared" si="8"/>
        <v>73.8</v>
      </c>
      <c r="I124" s="121"/>
      <c r="J124" s="122"/>
      <c r="K124" s="122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</row>
    <row r="125" spans="1:29" s="124" customFormat="1" ht="15" x14ac:dyDescent="0.25">
      <c r="A125" s="119"/>
      <c r="B125" s="104"/>
      <c r="C125" s="106" t="s">
        <v>190</v>
      </c>
      <c r="D125" s="104"/>
      <c r="E125" s="106">
        <f>SUM(E126:E131)</f>
        <v>412600</v>
      </c>
      <c r="F125" s="106">
        <f>SUM(F126:F133)</f>
        <v>632600</v>
      </c>
      <c r="G125" s="106">
        <f>SUM(G126:G133)</f>
        <v>466869</v>
      </c>
      <c r="H125" s="106">
        <f t="shared" si="8"/>
        <v>73.8</v>
      </c>
      <c r="I125" s="121"/>
      <c r="J125" s="122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</row>
    <row r="126" spans="1:29" s="124" customFormat="1" ht="15" x14ac:dyDescent="0.25">
      <c r="A126" s="119"/>
      <c r="B126" s="104" t="s">
        <v>21</v>
      </c>
      <c r="C126" s="106" t="s">
        <v>191</v>
      </c>
      <c r="D126" s="104" t="s">
        <v>4</v>
      </c>
      <c r="E126" s="106">
        <v>120000</v>
      </c>
      <c r="F126" s="106">
        <v>120000</v>
      </c>
      <c r="G126" s="128">
        <v>128206</v>
      </c>
      <c r="H126" s="120">
        <f t="shared" si="8"/>
        <v>106.8</v>
      </c>
      <c r="I126" s="121"/>
      <c r="J126" s="122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</row>
    <row r="127" spans="1:29" s="124" customFormat="1" ht="15" x14ac:dyDescent="0.25">
      <c r="A127" s="119"/>
      <c r="B127" s="104" t="s">
        <v>21</v>
      </c>
      <c r="C127" s="106" t="s">
        <v>192</v>
      </c>
      <c r="D127" s="104" t="s">
        <v>4</v>
      </c>
      <c r="E127" s="106">
        <v>100000</v>
      </c>
      <c r="F127" s="106">
        <v>100000</v>
      </c>
      <c r="G127" s="128">
        <v>100000</v>
      </c>
      <c r="H127" s="120">
        <f t="shared" si="8"/>
        <v>100</v>
      </c>
      <c r="I127" s="121"/>
      <c r="J127" s="122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</row>
    <row r="128" spans="1:29" s="124" customFormat="1" ht="15" x14ac:dyDescent="0.25">
      <c r="A128" s="119"/>
      <c r="B128" s="104" t="s">
        <v>184</v>
      </c>
      <c r="C128" s="106" t="s">
        <v>193</v>
      </c>
      <c r="D128" s="104" t="s">
        <v>4</v>
      </c>
      <c r="E128" s="106">
        <v>75000</v>
      </c>
      <c r="F128" s="106">
        <v>75000</v>
      </c>
      <c r="G128" s="128">
        <v>75000</v>
      </c>
      <c r="H128" s="128">
        <f t="shared" si="8"/>
        <v>100</v>
      </c>
      <c r="I128" s="121"/>
      <c r="J128" s="122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</row>
    <row r="129" spans="1:29" s="124" customFormat="1" ht="15" x14ac:dyDescent="0.25">
      <c r="A129" s="119"/>
      <c r="B129" s="104" t="s">
        <v>21</v>
      </c>
      <c r="C129" s="106" t="s">
        <v>194</v>
      </c>
      <c r="D129" s="104" t="s">
        <v>4</v>
      </c>
      <c r="E129" s="106">
        <v>50000</v>
      </c>
      <c r="F129" s="106">
        <v>50000</v>
      </c>
      <c r="G129" s="128">
        <v>50000</v>
      </c>
      <c r="H129" s="106">
        <f t="shared" si="8"/>
        <v>100</v>
      </c>
      <c r="I129" s="121"/>
      <c r="J129" s="122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</row>
    <row r="130" spans="1:29" s="124" customFormat="1" ht="15" x14ac:dyDescent="0.25">
      <c r="A130" s="119"/>
      <c r="B130" s="104" t="s">
        <v>184</v>
      </c>
      <c r="C130" s="106" t="s">
        <v>195</v>
      </c>
      <c r="D130" s="104" t="s">
        <v>4</v>
      </c>
      <c r="E130" s="106">
        <v>47600</v>
      </c>
      <c r="F130" s="106">
        <v>47600</v>
      </c>
      <c r="G130" s="128">
        <v>45499</v>
      </c>
      <c r="H130" s="120">
        <f t="shared" si="8"/>
        <v>95.6</v>
      </c>
      <c r="I130" s="121"/>
      <c r="J130" s="122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</row>
    <row r="131" spans="1:29" s="124" customFormat="1" ht="15" x14ac:dyDescent="0.25">
      <c r="A131" s="119"/>
      <c r="B131" s="104" t="s">
        <v>184</v>
      </c>
      <c r="C131" s="106" t="s">
        <v>196</v>
      </c>
      <c r="D131" s="104" t="s">
        <v>4</v>
      </c>
      <c r="E131" s="106">
        <v>20000</v>
      </c>
      <c r="F131" s="106">
        <v>20000</v>
      </c>
      <c r="G131" s="128">
        <v>20000</v>
      </c>
      <c r="H131" s="120">
        <f t="shared" si="8"/>
        <v>100</v>
      </c>
      <c r="I131" s="121"/>
      <c r="J131" s="122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</row>
    <row r="132" spans="1:29" s="124" customFormat="1" ht="15" x14ac:dyDescent="0.25">
      <c r="A132" s="119"/>
      <c r="B132" s="104" t="s">
        <v>184</v>
      </c>
      <c r="C132" s="145" t="s">
        <v>279</v>
      </c>
      <c r="D132" s="104" t="s">
        <v>4</v>
      </c>
      <c r="E132" s="106">
        <v>0</v>
      </c>
      <c r="F132" s="128">
        <v>200000</v>
      </c>
      <c r="G132" s="128">
        <v>48164</v>
      </c>
      <c r="H132" s="120">
        <f t="shared" si="8"/>
        <v>24.1</v>
      </c>
      <c r="I132" s="121"/>
      <c r="J132" s="122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</row>
    <row r="133" spans="1:29" s="124" customFormat="1" ht="15" x14ac:dyDescent="0.25">
      <c r="A133" s="119"/>
      <c r="B133" s="104" t="s">
        <v>184</v>
      </c>
      <c r="C133" s="145" t="s">
        <v>280</v>
      </c>
      <c r="D133" s="104" t="s">
        <v>3</v>
      </c>
      <c r="E133" s="106">
        <v>0</v>
      </c>
      <c r="F133" s="128">
        <v>20000</v>
      </c>
      <c r="G133" s="128">
        <v>0</v>
      </c>
      <c r="H133" s="120">
        <f t="shared" si="8"/>
        <v>0</v>
      </c>
      <c r="I133" s="121"/>
      <c r="J133" s="122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</row>
    <row r="134" spans="1:29" s="124" customFormat="1" ht="15" x14ac:dyDescent="0.25">
      <c r="A134" s="119"/>
      <c r="B134" s="104"/>
      <c r="C134" s="130" t="s">
        <v>197</v>
      </c>
      <c r="D134" s="133"/>
      <c r="E134" s="130">
        <f>SUM(E135,E136)</f>
        <v>40000</v>
      </c>
      <c r="F134" s="130">
        <f>SUM(F135,F136)</f>
        <v>137102</v>
      </c>
      <c r="G134" s="130">
        <f>SUM(G135,G136)</f>
        <v>107261</v>
      </c>
      <c r="H134" s="130">
        <f t="shared" si="8"/>
        <v>78.2</v>
      </c>
      <c r="I134" s="121"/>
      <c r="J134" s="122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</row>
    <row r="135" spans="1:29" s="124" customFormat="1" ht="15" x14ac:dyDescent="0.25">
      <c r="A135" s="119"/>
      <c r="B135" s="104" t="s">
        <v>21</v>
      </c>
      <c r="C135" s="106" t="s">
        <v>198</v>
      </c>
      <c r="D135" s="104" t="s">
        <v>3</v>
      </c>
      <c r="E135" s="106">
        <v>20000</v>
      </c>
      <c r="F135" s="106">
        <v>97102</v>
      </c>
      <c r="G135" s="106">
        <v>67470</v>
      </c>
      <c r="H135" s="106">
        <f t="shared" si="8"/>
        <v>69.5</v>
      </c>
      <c r="I135" s="121"/>
      <c r="J135" s="122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</row>
    <row r="136" spans="1:29" s="124" customFormat="1" ht="21.75" customHeight="1" x14ac:dyDescent="0.25">
      <c r="A136" s="119"/>
      <c r="B136" s="104" t="s">
        <v>184</v>
      </c>
      <c r="C136" s="106" t="s">
        <v>199</v>
      </c>
      <c r="D136" s="104" t="s">
        <v>3</v>
      </c>
      <c r="E136" s="106">
        <v>20000</v>
      </c>
      <c r="F136" s="106">
        <v>40000</v>
      </c>
      <c r="G136" s="106">
        <v>39791</v>
      </c>
      <c r="H136" s="106">
        <f t="shared" si="8"/>
        <v>99.5</v>
      </c>
      <c r="I136" s="121"/>
      <c r="J136" s="122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</row>
    <row r="137" spans="1:29" s="124" customFormat="1" ht="15" x14ac:dyDescent="0.25">
      <c r="A137" s="119"/>
      <c r="B137" s="104"/>
      <c r="C137" s="130" t="s">
        <v>200</v>
      </c>
      <c r="D137" s="133"/>
      <c r="E137" s="130">
        <f>SUM(E138)</f>
        <v>20000</v>
      </c>
      <c r="F137" s="130">
        <f>SUM(F138)</f>
        <v>20000</v>
      </c>
      <c r="G137" s="130">
        <f>SUM(G138)</f>
        <v>12000</v>
      </c>
      <c r="H137" s="130">
        <f t="shared" si="8"/>
        <v>60</v>
      </c>
      <c r="I137" s="121"/>
      <c r="J137" s="122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</row>
    <row r="138" spans="1:29" s="124" customFormat="1" ht="24.75" x14ac:dyDescent="0.25">
      <c r="A138" s="119"/>
      <c r="B138" s="104" t="s">
        <v>184</v>
      </c>
      <c r="C138" s="143" t="s">
        <v>201</v>
      </c>
      <c r="D138" s="104" t="s">
        <v>4</v>
      </c>
      <c r="E138" s="106">
        <v>20000</v>
      </c>
      <c r="F138" s="106">
        <v>20000</v>
      </c>
      <c r="G138" s="106">
        <v>12000</v>
      </c>
      <c r="H138" s="106">
        <f t="shared" si="8"/>
        <v>60</v>
      </c>
      <c r="I138" s="121"/>
      <c r="J138" s="122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</row>
    <row r="139" spans="1:29" s="124" customFormat="1" ht="15" x14ac:dyDescent="0.25">
      <c r="A139" s="119"/>
      <c r="B139" s="104"/>
      <c r="C139" s="133" t="s">
        <v>202</v>
      </c>
      <c r="D139" s="129"/>
      <c r="E139" s="130">
        <f>SUM(E140:E141)</f>
        <v>46985</v>
      </c>
      <c r="F139" s="130">
        <f>F140+F141+F144</f>
        <v>66985</v>
      </c>
      <c r="G139" s="130">
        <f>G140+G141+G144</f>
        <v>34895</v>
      </c>
      <c r="H139" s="135">
        <f t="shared" si="8"/>
        <v>52.1</v>
      </c>
      <c r="I139" s="121"/>
      <c r="J139" s="122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</row>
    <row r="140" spans="1:29" s="124" customFormat="1" ht="15" x14ac:dyDescent="0.25">
      <c r="A140" s="119"/>
      <c r="B140" s="104" t="s">
        <v>21</v>
      </c>
      <c r="C140" s="104" t="s">
        <v>203</v>
      </c>
      <c r="D140" s="104" t="s">
        <v>3</v>
      </c>
      <c r="E140" s="106">
        <v>31500</v>
      </c>
      <c r="F140" s="106">
        <v>31500</v>
      </c>
      <c r="G140" s="106">
        <v>0</v>
      </c>
      <c r="H140" s="106">
        <f t="shared" si="8"/>
        <v>0</v>
      </c>
      <c r="I140" s="121"/>
      <c r="J140" s="122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</row>
    <row r="141" spans="1:29" s="124" customFormat="1" ht="15" x14ac:dyDescent="0.25">
      <c r="A141" s="119"/>
      <c r="B141" s="104" t="s">
        <v>21</v>
      </c>
      <c r="C141" s="104" t="s">
        <v>281</v>
      </c>
      <c r="D141" s="104"/>
      <c r="E141" s="106">
        <f>SUM(E142:E143)</f>
        <v>15485</v>
      </c>
      <c r="F141" s="106">
        <f>SUM(F142:F143)</f>
        <v>15485</v>
      </c>
      <c r="G141" s="106">
        <f>SUM(G142:G143)</f>
        <v>14895</v>
      </c>
      <c r="H141" s="106">
        <f t="shared" si="8"/>
        <v>96.2</v>
      </c>
      <c r="I141" s="121"/>
      <c r="J141" s="122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</row>
    <row r="142" spans="1:29" s="124" customFormat="1" ht="15" x14ac:dyDescent="0.25">
      <c r="A142" s="119"/>
      <c r="B142" s="104"/>
      <c r="C142" s="179" t="s">
        <v>309</v>
      </c>
      <c r="D142" s="104" t="s">
        <v>3</v>
      </c>
      <c r="E142" s="106">
        <v>10000</v>
      </c>
      <c r="F142" s="106">
        <v>10000</v>
      </c>
      <c r="G142" s="106">
        <v>9410</v>
      </c>
      <c r="H142" s="170" t="s">
        <v>74</v>
      </c>
      <c r="I142" s="121"/>
      <c r="J142" s="122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</row>
    <row r="143" spans="1:29" s="124" customFormat="1" ht="15" x14ac:dyDescent="0.25">
      <c r="A143" s="119"/>
      <c r="B143" s="104" t="s">
        <v>184</v>
      </c>
      <c r="C143" s="105" t="s">
        <v>282</v>
      </c>
      <c r="D143" s="104" t="s">
        <v>3</v>
      </c>
      <c r="E143" s="106">
        <v>5485</v>
      </c>
      <c r="F143" s="106">
        <v>5485</v>
      </c>
      <c r="G143" s="106">
        <v>5485</v>
      </c>
      <c r="H143" s="106">
        <f t="shared" ref="H143:H155" si="9">ROUND(G143/F143*100,1)</f>
        <v>100</v>
      </c>
      <c r="I143" s="121"/>
      <c r="J143" s="122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</row>
    <row r="144" spans="1:29" s="124" customFormat="1" ht="24.75" x14ac:dyDescent="0.25">
      <c r="A144" s="119"/>
      <c r="B144" s="104" t="s">
        <v>184</v>
      </c>
      <c r="C144" s="134" t="s">
        <v>283</v>
      </c>
      <c r="D144" s="104" t="s">
        <v>4</v>
      </c>
      <c r="E144" s="106">
        <v>0</v>
      </c>
      <c r="F144" s="106">
        <v>20000</v>
      </c>
      <c r="G144" s="106">
        <v>20000</v>
      </c>
      <c r="H144" s="106">
        <f t="shared" si="9"/>
        <v>100</v>
      </c>
      <c r="I144" s="121"/>
      <c r="J144" s="122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</row>
    <row r="145" spans="1:29" s="124" customFormat="1" ht="15" x14ac:dyDescent="0.25">
      <c r="A145" s="119"/>
      <c r="B145" s="104"/>
      <c r="C145" s="133" t="s">
        <v>204</v>
      </c>
      <c r="D145" s="104"/>
      <c r="E145" s="130">
        <f>SUM(E146:E153)</f>
        <v>211100</v>
      </c>
      <c r="F145" s="130">
        <f>SUM(F146:F153)</f>
        <v>230658</v>
      </c>
      <c r="G145" s="130">
        <f>SUM(G146:G153)</f>
        <v>112774.50000000001</v>
      </c>
      <c r="H145" s="130">
        <f t="shared" si="9"/>
        <v>48.9</v>
      </c>
      <c r="I145" s="121"/>
      <c r="J145" s="122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</row>
    <row r="146" spans="1:29" s="124" customFormat="1" ht="15" x14ac:dyDescent="0.25">
      <c r="A146" s="119"/>
      <c r="B146" s="104" t="s">
        <v>21</v>
      </c>
      <c r="C146" s="104" t="s">
        <v>205</v>
      </c>
      <c r="D146" s="104" t="s">
        <v>4</v>
      </c>
      <c r="E146" s="106">
        <v>100000</v>
      </c>
      <c r="F146" s="106">
        <v>100000</v>
      </c>
      <c r="G146" s="106">
        <v>0</v>
      </c>
      <c r="H146" s="106">
        <f t="shared" si="9"/>
        <v>0</v>
      </c>
      <c r="I146" s="121"/>
      <c r="J146" s="122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</row>
    <row r="147" spans="1:29" s="124" customFormat="1" ht="15" x14ac:dyDescent="0.25">
      <c r="A147" s="119"/>
      <c r="B147" s="104" t="s">
        <v>206</v>
      </c>
      <c r="C147" s="104" t="s">
        <v>293</v>
      </c>
      <c r="D147" s="104" t="s">
        <v>4</v>
      </c>
      <c r="E147" s="106">
        <v>30000</v>
      </c>
      <c r="F147" s="106">
        <v>30000</v>
      </c>
      <c r="G147" s="106">
        <v>30000</v>
      </c>
      <c r="H147" s="106">
        <f t="shared" si="9"/>
        <v>100</v>
      </c>
      <c r="I147" s="121"/>
      <c r="J147" s="122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</row>
    <row r="148" spans="1:29" s="124" customFormat="1" ht="15" x14ac:dyDescent="0.25">
      <c r="A148" s="119"/>
      <c r="B148" s="104" t="s">
        <v>206</v>
      </c>
      <c r="C148" s="104" t="s">
        <v>207</v>
      </c>
      <c r="D148" s="104" t="s">
        <v>4</v>
      </c>
      <c r="E148" s="106">
        <v>40000</v>
      </c>
      <c r="F148" s="106">
        <v>40000</v>
      </c>
      <c r="G148" s="106">
        <v>31959</v>
      </c>
      <c r="H148" s="120">
        <f t="shared" si="9"/>
        <v>79.900000000000006</v>
      </c>
      <c r="I148" s="121"/>
      <c r="J148" s="122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</row>
    <row r="149" spans="1:29" s="124" customFormat="1" ht="15" x14ac:dyDescent="0.25">
      <c r="A149" s="119"/>
      <c r="B149" s="104" t="s">
        <v>22</v>
      </c>
      <c r="C149" s="104" t="s">
        <v>113</v>
      </c>
      <c r="D149" s="104" t="s">
        <v>3</v>
      </c>
      <c r="E149" s="106">
        <v>30000</v>
      </c>
      <c r="F149" s="106">
        <v>30000</v>
      </c>
      <c r="G149" s="106">
        <v>24245.040000000001</v>
      </c>
      <c r="H149" s="120">
        <f t="shared" si="9"/>
        <v>80.8</v>
      </c>
      <c r="I149" s="121"/>
      <c r="J149" s="122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3"/>
      <c r="AC149" s="123"/>
    </row>
    <row r="150" spans="1:29" s="124" customFormat="1" ht="15" x14ac:dyDescent="0.25">
      <c r="A150" s="119"/>
      <c r="B150" s="104" t="s">
        <v>21</v>
      </c>
      <c r="C150" s="104" t="s">
        <v>114</v>
      </c>
      <c r="D150" s="104" t="s">
        <v>3</v>
      </c>
      <c r="E150" s="106">
        <v>10000</v>
      </c>
      <c r="F150" s="106">
        <v>10000</v>
      </c>
      <c r="G150" s="106">
        <v>5133</v>
      </c>
      <c r="H150" s="120">
        <f t="shared" si="9"/>
        <v>51.3</v>
      </c>
      <c r="I150" s="121"/>
      <c r="J150" s="122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</row>
    <row r="151" spans="1:29" s="124" customFormat="1" ht="15" x14ac:dyDescent="0.25">
      <c r="A151" s="119"/>
      <c r="B151" s="104" t="s">
        <v>22</v>
      </c>
      <c r="C151" s="104" t="s">
        <v>208</v>
      </c>
      <c r="D151" s="104" t="s">
        <v>3</v>
      </c>
      <c r="E151" s="106">
        <v>0</v>
      </c>
      <c r="F151" s="106">
        <v>3412</v>
      </c>
      <c r="G151" s="106">
        <v>3412.08</v>
      </c>
      <c r="H151" s="106">
        <f t="shared" si="9"/>
        <v>100</v>
      </c>
      <c r="I151" s="121"/>
      <c r="J151" s="122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123"/>
    </row>
    <row r="152" spans="1:29" s="124" customFormat="1" ht="15" x14ac:dyDescent="0.25">
      <c r="A152" s="119"/>
      <c r="B152" s="103" t="s">
        <v>22</v>
      </c>
      <c r="C152" s="125" t="s">
        <v>284</v>
      </c>
      <c r="D152" s="125" t="s">
        <v>3</v>
      </c>
      <c r="E152" s="126">
        <v>0</v>
      </c>
      <c r="F152" s="126">
        <v>9696</v>
      </c>
      <c r="G152" s="126">
        <v>9696.3799999999992</v>
      </c>
      <c r="H152" s="126">
        <f t="shared" si="9"/>
        <v>100</v>
      </c>
      <c r="I152" s="121"/>
      <c r="J152" s="122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</row>
    <row r="153" spans="1:29" s="124" customFormat="1" ht="15" x14ac:dyDescent="0.25">
      <c r="A153" s="119"/>
      <c r="B153" s="104" t="s">
        <v>22</v>
      </c>
      <c r="C153" s="104" t="s">
        <v>115</v>
      </c>
      <c r="D153" s="104" t="s">
        <v>3</v>
      </c>
      <c r="E153" s="106">
        <v>1100</v>
      </c>
      <c r="F153" s="106">
        <f>1100+6450</f>
        <v>7550</v>
      </c>
      <c r="G153" s="106">
        <v>8329</v>
      </c>
      <c r="H153" s="106">
        <f t="shared" si="9"/>
        <v>110.3</v>
      </c>
      <c r="I153" s="121"/>
      <c r="J153" s="122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23"/>
    </row>
    <row r="154" spans="1:29" s="124" customFormat="1" ht="15" x14ac:dyDescent="0.25">
      <c r="A154" s="119"/>
      <c r="B154" s="104"/>
      <c r="C154" s="133" t="s">
        <v>209</v>
      </c>
      <c r="D154" s="104"/>
      <c r="E154" s="130">
        <f>SUM(E155)</f>
        <v>9000</v>
      </c>
      <c r="F154" s="130">
        <f>SUM(F155)</f>
        <v>9000</v>
      </c>
      <c r="G154" s="130">
        <f>SUM(G155)</f>
        <v>9000</v>
      </c>
      <c r="H154" s="135">
        <f t="shared" si="9"/>
        <v>100</v>
      </c>
      <c r="I154" s="121"/>
      <c r="J154" s="122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  <c r="AC154" s="123"/>
    </row>
    <row r="155" spans="1:29" s="124" customFormat="1" ht="27" customHeight="1" x14ac:dyDescent="0.25">
      <c r="A155" s="119"/>
      <c r="B155" s="104" t="s">
        <v>184</v>
      </c>
      <c r="C155" s="134" t="s">
        <v>210</v>
      </c>
      <c r="D155" s="104" t="s">
        <v>4</v>
      </c>
      <c r="E155" s="106">
        <v>9000</v>
      </c>
      <c r="F155" s="106">
        <v>9000</v>
      </c>
      <c r="G155" s="106">
        <v>9000</v>
      </c>
      <c r="H155" s="120">
        <f t="shared" si="9"/>
        <v>100</v>
      </c>
      <c r="I155" s="121"/>
      <c r="J155" s="122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  <c r="AC155" s="123"/>
    </row>
    <row r="156" spans="1:29" s="124" customFormat="1" ht="15" x14ac:dyDescent="0.25">
      <c r="A156" s="119"/>
      <c r="B156" s="104"/>
      <c r="C156" s="156" t="s">
        <v>299</v>
      </c>
      <c r="D156" s="129"/>
      <c r="E156" s="130">
        <v>0</v>
      </c>
      <c r="F156" s="130">
        <v>0</v>
      </c>
      <c r="G156" s="130">
        <v>60000</v>
      </c>
      <c r="H156" s="169" t="s">
        <v>74</v>
      </c>
      <c r="I156" s="121"/>
      <c r="J156" s="122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123"/>
    </row>
    <row r="157" spans="1:29" s="124" customFormat="1" ht="15" x14ac:dyDescent="0.25">
      <c r="A157" s="119"/>
      <c r="B157" s="104"/>
      <c r="C157" s="134" t="s">
        <v>300</v>
      </c>
      <c r="D157" s="104" t="s">
        <v>4</v>
      </c>
      <c r="E157" s="106">
        <v>0</v>
      </c>
      <c r="F157" s="106">
        <v>0</v>
      </c>
      <c r="G157" s="106">
        <v>10000</v>
      </c>
      <c r="H157" s="169" t="s">
        <v>74</v>
      </c>
      <c r="I157" s="121"/>
      <c r="J157" s="122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  <c r="AC157" s="123"/>
    </row>
    <row r="158" spans="1:29" s="124" customFormat="1" ht="15" x14ac:dyDescent="0.25">
      <c r="A158" s="119"/>
      <c r="B158" s="104"/>
      <c r="C158" s="134" t="s">
        <v>301</v>
      </c>
      <c r="D158" s="104" t="s">
        <v>4</v>
      </c>
      <c r="E158" s="106">
        <v>0</v>
      </c>
      <c r="F158" s="106">
        <v>0</v>
      </c>
      <c r="G158" s="106">
        <v>50000</v>
      </c>
      <c r="H158" s="169" t="s">
        <v>74</v>
      </c>
      <c r="I158" s="121"/>
      <c r="J158" s="122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</row>
    <row r="159" spans="1:29" s="124" customFormat="1" ht="15" customHeight="1" x14ac:dyDescent="0.25">
      <c r="A159" s="119"/>
      <c r="B159" s="104"/>
      <c r="C159" s="133" t="s">
        <v>211</v>
      </c>
      <c r="D159" s="133"/>
      <c r="E159" s="130">
        <f>SUM(E160)</f>
        <v>15000</v>
      </c>
      <c r="F159" s="130">
        <f>SUM(F160)</f>
        <v>15000</v>
      </c>
      <c r="G159" s="130">
        <f>SUM(G160)</f>
        <v>15000</v>
      </c>
      <c r="H159" s="130">
        <f>ROUND(G159/F159*100,1)</f>
        <v>100</v>
      </c>
      <c r="I159" s="121"/>
      <c r="J159" s="122"/>
      <c r="K159" s="123"/>
      <c r="L159" s="123"/>
      <c r="M159" s="123"/>
      <c r="N159" s="123"/>
      <c r="O159" s="123"/>
      <c r="P159" s="123"/>
      <c r="Q159" s="123"/>
      <c r="R159" s="123"/>
      <c r="S159" s="123"/>
      <c r="T159" s="146"/>
      <c r="U159" s="123"/>
      <c r="V159" s="123"/>
      <c r="W159" s="123"/>
      <c r="X159" s="123"/>
      <c r="Y159" s="123"/>
      <c r="Z159" s="123"/>
      <c r="AA159" s="123"/>
      <c r="AB159" s="123"/>
      <c r="AC159" s="123"/>
    </row>
    <row r="160" spans="1:29" s="124" customFormat="1" ht="36" x14ac:dyDescent="0.25">
      <c r="A160" s="119"/>
      <c r="B160" s="104" t="s">
        <v>184</v>
      </c>
      <c r="C160" s="166" t="s">
        <v>212</v>
      </c>
      <c r="D160" s="104" t="s">
        <v>4</v>
      </c>
      <c r="E160" s="106">
        <v>15000</v>
      </c>
      <c r="F160" s="106">
        <v>15000</v>
      </c>
      <c r="G160" s="106">
        <v>15000</v>
      </c>
      <c r="H160" s="120">
        <f>ROUND(G160/F160*100,1)</f>
        <v>100</v>
      </c>
      <c r="I160" s="121"/>
      <c r="J160" s="122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23"/>
    </row>
    <row r="161" spans="1:29" s="124" customFormat="1" ht="15" customHeight="1" x14ac:dyDescent="0.25">
      <c r="A161" s="119"/>
      <c r="B161" s="104"/>
      <c r="C161" s="133" t="s">
        <v>213</v>
      </c>
      <c r="D161" s="104"/>
      <c r="E161" s="130">
        <f>SUM(E162:E163)</f>
        <v>525000</v>
      </c>
      <c r="F161" s="130">
        <f>SUM(F162:F163)</f>
        <v>62000</v>
      </c>
      <c r="G161" s="130">
        <f>SUM(G162:G163)</f>
        <v>17994</v>
      </c>
      <c r="H161" s="130">
        <f>ROUND(G161/F161*100,1)</f>
        <v>29</v>
      </c>
      <c r="I161" s="121"/>
      <c r="J161" s="122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</row>
    <row r="162" spans="1:29" s="124" customFormat="1" ht="15" x14ac:dyDescent="0.25">
      <c r="A162" s="119"/>
      <c r="B162" s="104" t="s">
        <v>21</v>
      </c>
      <c r="C162" s="104" t="s">
        <v>116</v>
      </c>
      <c r="D162" s="104" t="s">
        <v>3</v>
      </c>
      <c r="E162" s="106">
        <v>213000</v>
      </c>
      <c r="F162" s="106">
        <v>62000</v>
      </c>
      <c r="G162" s="106">
        <v>17994</v>
      </c>
      <c r="H162" s="120">
        <f>ROUND(G162/F162*100,1)</f>
        <v>29</v>
      </c>
      <c r="I162" s="121"/>
      <c r="J162" s="122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</row>
    <row r="163" spans="1:29" s="124" customFormat="1" ht="15" x14ac:dyDescent="0.25">
      <c r="A163" s="119"/>
      <c r="B163" s="104" t="s">
        <v>21</v>
      </c>
      <c r="C163" s="125" t="s">
        <v>116</v>
      </c>
      <c r="D163" s="125" t="s">
        <v>3</v>
      </c>
      <c r="E163" s="126">
        <v>312000</v>
      </c>
      <c r="F163" s="126">
        <v>0</v>
      </c>
      <c r="G163" s="126">
        <v>0</v>
      </c>
      <c r="H163" s="180" t="s">
        <v>74</v>
      </c>
      <c r="I163" s="121"/>
      <c r="J163" s="122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  <c r="AC163" s="123"/>
    </row>
    <row r="164" spans="1:29" s="124" customFormat="1" ht="15" x14ac:dyDescent="0.25">
      <c r="A164" s="119"/>
      <c r="B164" s="104"/>
      <c r="C164" s="129" t="s">
        <v>16</v>
      </c>
      <c r="D164" s="129"/>
      <c r="E164" s="135">
        <f>SUM(E165,E177,E186,E193,E199)</f>
        <v>13017550</v>
      </c>
      <c r="F164" s="135">
        <f>SUM(F165,F177,F186,F193,F199,F188,F197)</f>
        <v>15938965</v>
      </c>
      <c r="G164" s="135">
        <f>SUM(G165,G177,G186,G193,G199,G188,G197)</f>
        <v>14643122.600000001</v>
      </c>
      <c r="H164" s="135">
        <f t="shared" ref="H164:H171" si="10">ROUND(G164/F164*100,1)</f>
        <v>91.9</v>
      </c>
      <c r="I164" s="121"/>
      <c r="J164" s="122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</row>
    <row r="165" spans="1:29" s="124" customFormat="1" ht="15" x14ac:dyDescent="0.25">
      <c r="A165" s="119"/>
      <c r="B165" s="104" t="s">
        <v>21</v>
      </c>
      <c r="C165" s="133" t="s">
        <v>17</v>
      </c>
      <c r="D165" s="133"/>
      <c r="E165" s="130">
        <f>SUM(E166:E176)</f>
        <v>2039550</v>
      </c>
      <c r="F165" s="130">
        <f>SUM(F166:F176)</f>
        <v>3437891</v>
      </c>
      <c r="G165" s="130">
        <f>SUM(G166:G176)</f>
        <v>3238639.8</v>
      </c>
      <c r="H165" s="130">
        <f t="shared" si="10"/>
        <v>94.2</v>
      </c>
      <c r="I165" s="121"/>
      <c r="J165" s="122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123"/>
    </row>
    <row r="166" spans="1:29" s="124" customFormat="1" ht="15" x14ac:dyDescent="0.25">
      <c r="A166" s="119"/>
      <c r="B166" s="103"/>
      <c r="C166" s="104" t="s">
        <v>117</v>
      </c>
      <c r="D166" s="104" t="s">
        <v>3</v>
      </c>
      <c r="E166" s="106">
        <v>1050000</v>
      </c>
      <c r="F166" s="106">
        <v>1650000</v>
      </c>
      <c r="G166" s="106">
        <v>1650207</v>
      </c>
      <c r="H166" s="120">
        <f t="shared" si="10"/>
        <v>100</v>
      </c>
      <c r="I166" s="121"/>
      <c r="J166" s="122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</row>
    <row r="167" spans="1:29" s="124" customFormat="1" ht="15" x14ac:dyDescent="0.25">
      <c r="A167" s="119"/>
      <c r="B167" s="103"/>
      <c r="C167" s="125" t="s">
        <v>117</v>
      </c>
      <c r="D167" s="125" t="s">
        <v>3</v>
      </c>
      <c r="E167" s="126">
        <v>429550</v>
      </c>
      <c r="F167" s="126">
        <v>429550</v>
      </c>
      <c r="G167" s="126">
        <v>320802</v>
      </c>
      <c r="H167" s="127">
        <f t="shared" si="10"/>
        <v>74.7</v>
      </c>
      <c r="I167" s="121"/>
      <c r="J167" s="122"/>
      <c r="K167" s="122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</row>
    <row r="168" spans="1:29" s="124" customFormat="1" ht="15" x14ac:dyDescent="0.25">
      <c r="A168" s="119"/>
      <c r="B168" s="103"/>
      <c r="C168" s="104" t="s">
        <v>118</v>
      </c>
      <c r="D168" s="104" t="s">
        <v>3</v>
      </c>
      <c r="E168" s="106">
        <v>150000</v>
      </c>
      <c r="F168" s="106">
        <v>217655</v>
      </c>
      <c r="G168" s="106">
        <v>162704</v>
      </c>
      <c r="H168" s="120">
        <f t="shared" si="10"/>
        <v>74.8</v>
      </c>
      <c r="I168" s="121"/>
      <c r="J168" s="122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123"/>
    </row>
    <row r="169" spans="1:29" s="124" customFormat="1" ht="15" x14ac:dyDescent="0.25">
      <c r="A169" s="119"/>
      <c r="B169" s="103"/>
      <c r="C169" s="104" t="s">
        <v>119</v>
      </c>
      <c r="D169" s="103" t="s">
        <v>3</v>
      </c>
      <c r="E169" s="106">
        <v>80000</v>
      </c>
      <c r="F169" s="106">
        <v>115000</v>
      </c>
      <c r="G169" s="106">
        <v>111420</v>
      </c>
      <c r="H169" s="120">
        <f t="shared" si="10"/>
        <v>96.9</v>
      </c>
      <c r="I169" s="121"/>
      <c r="J169" s="122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</row>
    <row r="170" spans="1:29" s="124" customFormat="1" ht="15" x14ac:dyDescent="0.25">
      <c r="A170" s="119"/>
      <c r="B170" s="103"/>
      <c r="C170" s="104" t="s">
        <v>214</v>
      </c>
      <c r="D170" s="104" t="s">
        <v>3</v>
      </c>
      <c r="E170" s="106">
        <v>0</v>
      </c>
      <c r="F170" s="106">
        <v>323705</v>
      </c>
      <c r="G170" s="106">
        <v>303375</v>
      </c>
      <c r="H170" s="120">
        <f t="shared" si="10"/>
        <v>93.7</v>
      </c>
      <c r="I170" s="121"/>
      <c r="J170" s="122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</row>
    <row r="171" spans="1:29" s="124" customFormat="1" ht="15" x14ac:dyDescent="0.25">
      <c r="A171" s="119"/>
      <c r="B171" s="103"/>
      <c r="C171" s="125" t="s">
        <v>215</v>
      </c>
      <c r="D171" s="125" t="s">
        <v>3</v>
      </c>
      <c r="E171" s="126">
        <v>0</v>
      </c>
      <c r="F171" s="126">
        <v>7500</v>
      </c>
      <c r="G171" s="126">
        <v>7500</v>
      </c>
      <c r="H171" s="127">
        <f t="shared" si="10"/>
        <v>100</v>
      </c>
      <c r="I171" s="121"/>
      <c r="J171" s="122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</row>
    <row r="172" spans="1:29" s="124" customFormat="1" ht="15" x14ac:dyDescent="0.25">
      <c r="A172" s="119"/>
      <c r="B172" s="103"/>
      <c r="C172" s="125" t="s">
        <v>298</v>
      </c>
      <c r="D172" s="125" t="s">
        <v>3</v>
      </c>
      <c r="E172" s="126">
        <v>0</v>
      </c>
      <c r="F172" s="126">
        <v>0</v>
      </c>
      <c r="G172" s="126">
        <v>58455</v>
      </c>
      <c r="H172" s="171" t="s">
        <v>74</v>
      </c>
      <c r="I172" s="121"/>
      <c r="J172" s="122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</row>
    <row r="173" spans="1:29" s="124" customFormat="1" ht="15" x14ac:dyDescent="0.25">
      <c r="A173" s="119"/>
      <c r="B173" s="104"/>
      <c r="C173" s="104" t="s">
        <v>216</v>
      </c>
      <c r="D173" s="103" t="s">
        <v>3</v>
      </c>
      <c r="E173" s="106">
        <v>200000</v>
      </c>
      <c r="F173" s="106">
        <v>530000</v>
      </c>
      <c r="G173" s="106">
        <v>458718</v>
      </c>
      <c r="H173" s="120">
        <f t="shared" ref="H173:H214" si="11">ROUND(G173/F173*100,1)</f>
        <v>86.6</v>
      </c>
      <c r="I173" s="121"/>
      <c r="J173" s="122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  <c r="AC173" s="123"/>
    </row>
    <row r="174" spans="1:29" s="124" customFormat="1" ht="15" x14ac:dyDescent="0.25">
      <c r="A174" s="119"/>
      <c r="B174" s="104"/>
      <c r="C174" s="104" t="s">
        <v>217</v>
      </c>
      <c r="D174" s="104" t="s">
        <v>3</v>
      </c>
      <c r="E174" s="106">
        <v>80000</v>
      </c>
      <c r="F174" s="106">
        <v>80000</v>
      </c>
      <c r="G174" s="106">
        <v>82229</v>
      </c>
      <c r="H174" s="120">
        <f t="shared" si="11"/>
        <v>102.8</v>
      </c>
      <c r="I174" s="121"/>
      <c r="J174" s="122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  <c r="AC174" s="123"/>
    </row>
    <row r="175" spans="1:29" s="124" customFormat="1" ht="15" x14ac:dyDescent="0.25">
      <c r="A175" s="119"/>
      <c r="B175" s="104"/>
      <c r="C175" s="104" t="s">
        <v>218</v>
      </c>
      <c r="D175" s="103" t="s">
        <v>3</v>
      </c>
      <c r="E175" s="106">
        <v>0</v>
      </c>
      <c r="F175" s="106">
        <v>34481</v>
      </c>
      <c r="G175" s="106">
        <v>33454.800000000003</v>
      </c>
      <c r="H175" s="120">
        <f t="shared" si="11"/>
        <v>97</v>
      </c>
      <c r="I175" s="121"/>
      <c r="J175" s="122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</row>
    <row r="176" spans="1:29" s="124" customFormat="1" ht="15" x14ac:dyDescent="0.25">
      <c r="A176" s="119"/>
      <c r="B176" s="104"/>
      <c r="C176" s="104" t="s">
        <v>219</v>
      </c>
      <c r="D176" s="104" t="s">
        <v>3</v>
      </c>
      <c r="E176" s="106">
        <v>50000</v>
      </c>
      <c r="F176" s="106">
        <v>50000</v>
      </c>
      <c r="G176" s="106">
        <v>49775</v>
      </c>
      <c r="H176" s="120">
        <f t="shared" si="11"/>
        <v>99.6</v>
      </c>
      <c r="I176" s="121"/>
      <c r="J176" s="122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</row>
    <row r="177" spans="1:29" s="124" customFormat="1" ht="15" x14ac:dyDescent="0.25">
      <c r="A177" s="119"/>
      <c r="B177" s="104" t="s">
        <v>21</v>
      </c>
      <c r="C177" s="133" t="s">
        <v>220</v>
      </c>
      <c r="D177" s="104"/>
      <c r="E177" s="130">
        <f>SUM(E178)</f>
        <v>10393000</v>
      </c>
      <c r="F177" s="130">
        <f>SUM(F178)</f>
        <v>10926438</v>
      </c>
      <c r="G177" s="130">
        <f>SUM(G178)</f>
        <v>10169062</v>
      </c>
      <c r="H177" s="130">
        <f t="shared" si="11"/>
        <v>93.1</v>
      </c>
      <c r="I177" s="121"/>
      <c r="J177" s="122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</row>
    <row r="178" spans="1:29" s="124" customFormat="1" ht="15" x14ac:dyDescent="0.25">
      <c r="A178" s="119"/>
      <c r="B178" s="104"/>
      <c r="C178" s="104" t="s">
        <v>221</v>
      </c>
      <c r="D178" s="104"/>
      <c r="E178" s="106">
        <f>SUM(E179:E185)</f>
        <v>10393000</v>
      </c>
      <c r="F178" s="106">
        <f>SUM(F179:F185)</f>
        <v>10926438</v>
      </c>
      <c r="G178" s="106">
        <f>SUM(G179:G185)</f>
        <v>10169062</v>
      </c>
      <c r="H178" s="106">
        <f t="shared" si="11"/>
        <v>93.1</v>
      </c>
      <c r="I178" s="121"/>
      <c r="J178" s="122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</row>
    <row r="179" spans="1:29" s="124" customFormat="1" ht="15" x14ac:dyDescent="0.25">
      <c r="A179" s="119"/>
      <c r="B179" s="104"/>
      <c r="C179" s="104" t="s">
        <v>222</v>
      </c>
      <c r="D179" s="104" t="s">
        <v>3</v>
      </c>
      <c r="E179" s="106">
        <v>2619000</v>
      </c>
      <c r="F179" s="106">
        <v>2419000</v>
      </c>
      <c r="G179" s="106">
        <v>2416293</v>
      </c>
      <c r="H179" s="120">
        <f t="shared" si="11"/>
        <v>99.9</v>
      </c>
      <c r="I179" s="121"/>
      <c r="J179" s="121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</row>
    <row r="180" spans="1:29" s="124" customFormat="1" ht="15" customHeight="1" x14ac:dyDescent="0.3">
      <c r="A180" s="119"/>
      <c r="B180" s="104"/>
      <c r="C180" s="125" t="s">
        <v>222</v>
      </c>
      <c r="D180" s="125" t="s">
        <v>3</v>
      </c>
      <c r="E180" s="126">
        <v>3522000</v>
      </c>
      <c r="F180" s="126">
        <v>3522000</v>
      </c>
      <c r="G180" s="126">
        <v>3202452</v>
      </c>
      <c r="H180" s="126">
        <f t="shared" si="11"/>
        <v>90.9</v>
      </c>
      <c r="I180" s="121"/>
      <c r="J180" s="122"/>
      <c r="K180" s="123"/>
      <c r="L180" s="147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</row>
    <row r="181" spans="1:29" s="124" customFormat="1" ht="15" x14ac:dyDescent="0.25">
      <c r="A181" s="119"/>
      <c r="B181" s="104"/>
      <c r="C181" s="104" t="s">
        <v>223</v>
      </c>
      <c r="D181" s="104" t="s">
        <v>3</v>
      </c>
      <c r="E181" s="106">
        <v>380000</v>
      </c>
      <c r="F181" s="106">
        <v>497322</v>
      </c>
      <c r="G181" s="106">
        <v>493315</v>
      </c>
      <c r="H181" s="120">
        <f t="shared" si="11"/>
        <v>99.2</v>
      </c>
      <c r="I181" s="121"/>
      <c r="J181" s="122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123"/>
    </row>
    <row r="182" spans="1:29" s="124" customFormat="1" ht="15" x14ac:dyDescent="0.25">
      <c r="A182" s="119"/>
      <c r="B182" s="104"/>
      <c r="C182" s="104" t="s">
        <v>224</v>
      </c>
      <c r="D182" s="104" t="s">
        <v>3</v>
      </c>
      <c r="E182" s="106">
        <v>800000</v>
      </c>
      <c r="F182" s="106">
        <v>1003218</v>
      </c>
      <c r="G182" s="106">
        <v>999414</v>
      </c>
      <c r="H182" s="120">
        <f t="shared" si="11"/>
        <v>99.6</v>
      </c>
      <c r="I182" s="121"/>
      <c r="J182" s="122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</row>
    <row r="183" spans="1:29" s="124" customFormat="1" ht="15" x14ac:dyDescent="0.25">
      <c r="A183" s="119"/>
      <c r="B183" s="104"/>
      <c r="C183" s="125" t="s">
        <v>224</v>
      </c>
      <c r="D183" s="125" t="s">
        <v>3</v>
      </c>
      <c r="E183" s="126">
        <v>1332000</v>
      </c>
      <c r="F183" s="126">
        <v>1332000</v>
      </c>
      <c r="G183" s="126">
        <v>1160749</v>
      </c>
      <c r="H183" s="127">
        <f t="shared" si="11"/>
        <v>87.1</v>
      </c>
      <c r="I183" s="121"/>
      <c r="J183" s="122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</row>
    <row r="184" spans="1:29" s="124" customFormat="1" ht="15" x14ac:dyDescent="0.25">
      <c r="A184" s="119"/>
      <c r="B184" s="104"/>
      <c r="C184" s="104" t="s">
        <v>225</v>
      </c>
      <c r="D184" s="104" t="s">
        <v>3</v>
      </c>
      <c r="E184" s="106">
        <v>1100000</v>
      </c>
      <c r="F184" s="106">
        <v>1175000</v>
      </c>
      <c r="G184" s="106">
        <v>969509</v>
      </c>
      <c r="H184" s="120">
        <f t="shared" si="11"/>
        <v>82.5</v>
      </c>
      <c r="I184" s="121"/>
      <c r="J184" s="122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123"/>
    </row>
    <row r="185" spans="1:29" s="124" customFormat="1" ht="15" x14ac:dyDescent="0.25">
      <c r="A185" s="119"/>
      <c r="B185" s="104"/>
      <c r="C185" s="104" t="s">
        <v>226</v>
      </c>
      <c r="D185" s="104" t="s">
        <v>3</v>
      </c>
      <c r="E185" s="106">
        <v>640000</v>
      </c>
      <c r="F185" s="106">
        <v>977898</v>
      </c>
      <c r="G185" s="106">
        <v>927330</v>
      </c>
      <c r="H185" s="120">
        <f t="shared" si="11"/>
        <v>94.8</v>
      </c>
      <c r="I185" s="121"/>
      <c r="J185" s="122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  <c r="AC185" s="123"/>
    </row>
    <row r="186" spans="1:29" s="124" customFormat="1" ht="15" x14ac:dyDescent="0.25">
      <c r="A186" s="119"/>
      <c r="B186" s="104" t="s">
        <v>21</v>
      </c>
      <c r="C186" s="133" t="s">
        <v>227</v>
      </c>
      <c r="D186" s="133"/>
      <c r="E186" s="130">
        <f>SUM(E187)</f>
        <v>100000</v>
      </c>
      <c r="F186" s="130">
        <f>SUM(F187)</f>
        <v>100000</v>
      </c>
      <c r="G186" s="130">
        <f>SUM(G187)</f>
        <v>45120</v>
      </c>
      <c r="H186" s="130">
        <f t="shared" si="11"/>
        <v>45.1</v>
      </c>
      <c r="I186" s="121"/>
      <c r="J186" s="122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</row>
    <row r="187" spans="1:29" s="124" customFormat="1" ht="15" x14ac:dyDescent="0.25">
      <c r="A187" s="119"/>
      <c r="B187" s="104"/>
      <c r="C187" s="104" t="s">
        <v>228</v>
      </c>
      <c r="D187" s="104" t="s">
        <v>3</v>
      </c>
      <c r="E187" s="106">
        <v>100000</v>
      </c>
      <c r="F187" s="106">
        <v>100000</v>
      </c>
      <c r="G187" s="106">
        <v>45120</v>
      </c>
      <c r="H187" s="106">
        <f t="shared" si="11"/>
        <v>45.1</v>
      </c>
      <c r="I187" s="121"/>
      <c r="J187" s="122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23"/>
    </row>
    <row r="188" spans="1:29" s="152" customFormat="1" ht="15" x14ac:dyDescent="0.25">
      <c r="A188" s="150"/>
      <c r="B188" s="103" t="s">
        <v>24</v>
      </c>
      <c r="C188" s="158" t="s">
        <v>285</v>
      </c>
      <c r="D188" s="154"/>
      <c r="E188" s="140">
        <v>0</v>
      </c>
      <c r="F188" s="140">
        <f>SUM(F189:F192)</f>
        <v>577000</v>
      </c>
      <c r="G188" s="140">
        <f>SUM(G189:G192)</f>
        <v>583027</v>
      </c>
      <c r="H188" s="140">
        <f t="shared" si="11"/>
        <v>101</v>
      </c>
      <c r="I188" s="131"/>
      <c r="J188" s="132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  <c r="Z188" s="151"/>
      <c r="AA188" s="151"/>
      <c r="AB188" s="151"/>
      <c r="AC188" s="151"/>
    </row>
    <row r="189" spans="1:29" s="152" customFormat="1" ht="24.75" x14ac:dyDescent="0.25">
      <c r="A189" s="150"/>
      <c r="B189" s="103"/>
      <c r="C189" s="159" t="s">
        <v>286</v>
      </c>
      <c r="D189" s="103" t="s">
        <v>3</v>
      </c>
      <c r="E189" s="128">
        <v>0</v>
      </c>
      <c r="F189" s="128">
        <v>150000</v>
      </c>
      <c r="G189" s="128">
        <v>184048</v>
      </c>
      <c r="H189" s="128">
        <f t="shared" si="11"/>
        <v>122.7</v>
      </c>
      <c r="I189" s="131"/>
      <c r="J189" s="132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  <c r="X189" s="151"/>
      <c r="Y189" s="151"/>
      <c r="Z189" s="151"/>
      <c r="AA189" s="151"/>
      <c r="AB189" s="151"/>
      <c r="AC189" s="151"/>
    </row>
    <row r="190" spans="1:29" s="152" customFormat="1" ht="24.75" x14ac:dyDescent="0.25">
      <c r="A190" s="150"/>
      <c r="B190" s="103"/>
      <c r="C190" s="153" t="s">
        <v>286</v>
      </c>
      <c r="D190" s="125" t="s">
        <v>3</v>
      </c>
      <c r="E190" s="126">
        <v>0</v>
      </c>
      <c r="F190" s="126">
        <v>250000</v>
      </c>
      <c r="G190" s="126">
        <v>254230</v>
      </c>
      <c r="H190" s="126">
        <f t="shared" si="11"/>
        <v>101.7</v>
      </c>
      <c r="I190" s="131"/>
      <c r="J190" s="132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  <c r="Z190" s="151"/>
      <c r="AA190" s="151"/>
      <c r="AB190" s="151"/>
      <c r="AC190" s="151"/>
    </row>
    <row r="191" spans="1:29" s="152" customFormat="1" ht="15" x14ac:dyDescent="0.25">
      <c r="A191" s="150"/>
      <c r="B191" s="103"/>
      <c r="C191" s="103" t="s">
        <v>303</v>
      </c>
      <c r="D191" s="103" t="s">
        <v>3</v>
      </c>
      <c r="E191" s="128">
        <v>0</v>
      </c>
      <c r="F191" s="128">
        <v>147000</v>
      </c>
      <c r="G191" s="128">
        <v>114749</v>
      </c>
      <c r="H191" s="128">
        <f t="shared" si="11"/>
        <v>78.099999999999994</v>
      </c>
      <c r="I191" s="131"/>
      <c r="J191" s="132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  <c r="X191" s="151"/>
      <c r="Y191" s="151"/>
      <c r="Z191" s="151"/>
      <c r="AA191" s="151"/>
      <c r="AB191" s="151"/>
      <c r="AC191" s="151"/>
    </row>
    <row r="192" spans="1:29" s="152" customFormat="1" ht="15" x14ac:dyDescent="0.25">
      <c r="A192" s="150"/>
      <c r="B192" s="103"/>
      <c r="C192" s="103" t="s">
        <v>312</v>
      </c>
      <c r="D192" s="103" t="s">
        <v>3</v>
      </c>
      <c r="E192" s="128">
        <v>0</v>
      </c>
      <c r="F192" s="128">
        <v>30000</v>
      </c>
      <c r="G192" s="128">
        <v>30000</v>
      </c>
      <c r="H192" s="128">
        <f t="shared" si="11"/>
        <v>100</v>
      </c>
      <c r="I192" s="131"/>
      <c r="J192" s="132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  <c r="X192" s="151"/>
      <c r="Y192" s="151"/>
      <c r="Z192" s="151"/>
      <c r="AA192" s="151"/>
      <c r="AB192" s="151"/>
      <c r="AC192" s="151"/>
    </row>
    <row r="193" spans="1:29" s="124" customFormat="1" ht="15" x14ac:dyDescent="0.25">
      <c r="A193" s="119"/>
      <c r="B193" s="104"/>
      <c r="C193" s="133" t="s">
        <v>295</v>
      </c>
      <c r="D193" s="148"/>
      <c r="E193" s="130">
        <v>60000</v>
      </c>
      <c r="F193" s="130">
        <f>SUM(F194:F196)</f>
        <v>88176</v>
      </c>
      <c r="G193" s="130">
        <f>SUM(G194:G196)</f>
        <v>88114.8</v>
      </c>
      <c r="H193" s="130">
        <f t="shared" si="11"/>
        <v>99.9</v>
      </c>
      <c r="I193" s="121"/>
      <c r="J193" s="122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123"/>
    </row>
    <row r="194" spans="1:29" s="124" customFormat="1" ht="15" x14ac:dyDescent="0.25">
      <c r="A194" s="119"/>
      <c r="B194" s="104" t="s">
        <v>21</v>
      </c>
      <c r="C194" s="104" t="s">
        <v>287</v>
      </c>
      <c r="D194" s="104" t="s">
        <v>3</v>
      </c>
      <c r="E194" s="106">
        <v>60000</v>
      </c>
      <c r="F194" s="106">
        <v>60000</v>
      </c>
      <c r="G194" s="106">
        <v>59938.8</v>
      </c>
      <c r="H194" s="149">
        <f t="shared" si="11"/>
        <v>99.9</v>
      </c>
      <c r="I194" s="121"/>
      <c r="J194" s="122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3"/>
    </row>
    <row r="195" spans="1:29" s="152" customFormat="1" ht="15" x14ac:dyDescent="0.25">
      <c r="A195" s="150"/>
      <c r="B195" s="103" t="s">
        <v>184</v>
      </c>
      <c r="C195" s="103" t="s">
        <v>288</v>
      </c>
      <c r="D195" s="103" t="s">
        <v>3</v>
      </c>
      <c r="E195" s="128">
        <v>0</v>
      </c>
      <c r="F195" s="128">
        <v>18176</v>
      </c>
      <c r="G195" s="128">
        <v>18176</v>
      </c>
      <c r="H195" s="155">
        <f t="shared" si="11"/>
        <v>100</v>
      </c>
      <c r="I195" s="131"/>
      <c r="J195" s="132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  <c r="X195" s="151"/>
      <c r="Y195" s="151"/>
      <c r="Z195" s="151"/>
      <c r="AA195" s="151"/>
      <c r="AB195" s="151"/>
      <c r="AC195" s="151"/>
    </row>
    <row r="196" spans="1:29" s="124" customFormat="1" ht="15" x14ac:dyDescent="0.25">
      <c r="A196" s="119"/>
      <c r="B196" s="104" t="s">
        <v>184</v>
      </c>
      <c r="C196" s="104" t="s">
        <v>289</v>
      </c>
      <c r="D196" s="104" t="s">
        <v>3</v>
      </c>
      <c r="E196" s="106">
        <v>0</v>
      </c>
      <c r="F196" s="106">
        <v>10000</v>
      </c>
      <c r="G196" s="106">
        <v>10000</v>
      </c>
      <c r="H196" s="149">
        <f t="shared" si="11"/>
        <v>100</v>
      </c>
      <c r="I196" s="121"/>
      <c r="J196" s="122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</row>
    <row r="197" spans="1:29" s="124" customFormat="1" ht="15" x14ac:dyDescent="0.25">
      <c r="A197" s="119"/>
      <c r="B197" s="104" t="s">
        <v>24</v>
      </c>
      <c r="C197" s="133" t="s">
        <v>304</v>
      </c>
      <c r="D197" s="133"/>
      <c r="E197" s="130">
        <v>0</v>
      </c>
      <c r="F197" s="130">
        <v>4010</v>
      </c>
      <c r="G197" s="130">
        <v>4010</v>
      </c>
      <c r="H197" s="130">
        <f t="shared" si="11"/>
        <v>100</v>
      </c>
      <c r="I197" s="121"/>
      <c r="J197" s="122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3"/>
    </row>
    <row r="198" spans="1:29" s="124" customFormat="1" ht="15" x14ac:dyDescent="0.25">
      <c r="A198" s="119"/>
      <c r="B198" s="104"/>
      <c r="C198" s="104" t="s">
        <v>305</v>
      </c>
      <c r="D198" s="104" t="s">
        <v>3</v>
      </c>
      <c r="E198" s="106">
        <v>0</v>
      </c>
      <c r="F198" s="106">
        <v>4010</v>
      </c>
      <c r="G198" s="106">
        <v>4010</v>
      </c>
      <c r="H198" s="149">
        <f t="shared" si="11"/>
        <v>100</v>
      </c>
      <c r="I198" s="121"/>
      <c r="J198" s="122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3"/>
    </row>
    <row r="199" spans="1:29" s="124" customFormat="1" ht="15" x14ac:dyDescent="0.25">
      <c r="A199" s="119"/>
      <c r="B199" s="104"/>
      <c r="C199" s="133" t="s">
        <v>18</v>
      </c>
      <c r="D199" s="104"/>
      <c r="E199" s="130">
        <f>SUM(E200:E205)</f>
        <v>425000</v>
      </c>
      <c r="F199" s="130">
        <f>SUM(F200:F205)</f>
        <v>805450</v>
      </c>
      <c r="G199" s="130">
        <f>SUM(G200:G205)</f>
        <v>515149</v>
      </c>
      <c r="H199" s="130">
        <f t="shared" si="11"/>
        <v>64</v>
      </c>
      <c r="I199" s="121"/>
      <c r="J199" s="122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</row>
    <row r="200" spans="1:29" s="124" customFormat="1" ht="15" x14ac:dyDescent="0.25">
      <c r="A200" s="119"/>
      <c r="B200" s="104" t="s">
        <v>21</v>
      </c>
      <c r="C200" s="104" t="s">
        <v>229</v>
      </c>
      <c r="D200" s="104" t="s">
        <v>3</v>
      </c>
      <c r="E200" s="106">
        <v>100000</v>
      </c>
      <c r="F200" s="106">
        <v>200000</v>
      </c>
      <c r="G200" s="106">
        <v>186153</v>
      </c>
      <c r="H200" s="106">
        <f t="shared" si="11"/>
        <v>93.1</v>
      </c>
      <c r="I200" s="121"/>
      <c r="J200" s="122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</row>
    <row r="201" spans="1:29" s="124" customFormat="1" ht="15" x14ac:dyDescent="0.25">
      <c r="A201" s="119"/>
      <c r="B201" s="104" t="s">
        <v>21</v>
      </c>
      <c r="C201" s="104" t="s">
        <v>230</v>
      </c>
      <c r="D201" s="104" t="s">
        <v>3</v>
      </c>
      <c r="E201" s="106">
        <v>150000</v>
      </c>
      <c r="F201" s="106">
        <v>170000</v>
      </c>
      <c r="G201" s="106">
        <v>159516</v>
      </c>
      <c r="H201" s="106">
        <f t="shared" si="11"/>
        <v>93.8</v>
      </c>
      <c r="I201" s="121"/>
      <c r="J201" s="122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</row>
    <row r="202" spans="1:29" s="124" customFormat="1" ht="15" x14ac:dyDescent="0.25">
      <c r="A202" s="119"/>
      <c r="B202" s="104" t="s">
        <v>21</v>
      </c>
      <c r="C202" s="104" t="s">
        <v>231</v>
      </c>
      <c r="D202" s="104" t="s">
        <v>3</v>
      </c>
      <c r="E202" s="106">
        <v>100000</v>
      </c>
      <c r="F202" s="106">
        <v>161546</v>
      </c>
      <c r="G202" s="106">
        <v>155963</v>
      </c>
      <c r="H202" s="106">
        <f t="shared" si="11"/>
        <v>96.5</v>
      </c>
      <c r="I202" s="121"/>
      <c r="J202" s="122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</row>
    <row r="203" spans="1:29" s="124" customFormat="1" ht="15" x14ac:dyDescent="0.25">
      <c r="A203" s="119"/>
      <c r="B203" s="104" t="s">
        <v>21</v>
      </c>
      <c r="C203" s="125" t="s">
        <v>232</v>
      </c>
      <c r="D203" s="125" t="s">
        <v>3</v>
      </c>
      <c r="E203" s="126">
        <v>0</v>
      </c>
      <c r="F203" s="126">
        <v>38904</v>
      </c>
      <c r="G203" s="126">
        <v>3517</v>
      </c>
      <c r="H203" s="126">
        <f t="shared" si="11"/>
        <v>9</v>
      </c>
      <c r="I203" s="121"/>
      <c r="J203" s="122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  <c r="AC203" s="123"/>
    </row>
    <row r="204" spans="1:29" s="152" customFormat="1" ht="15" x14ac:dyDescent="0.25">
      <c r="A204" s="150"/>
      <c r="B204" s="103" t="s">
        <v>21</v>
      </c>
      <c r="C204" s="103" t="s">
        <v>290</v>
      </c>
      <c r="D204" s="103" t="s">
        <v>3</v>
      </c>
      <c r="E204" s="128">
        <v>0</v>
      </c>
      <c r="F204" s="128">
        <v>10000</v>
      </c>
      <c r="G204" s="128">
        <v>10000</v>
      </c>
      <c r="H204" s="128">
        <f t="shared" si="11"/>
        <v>100</v>
      </c>
      <c r="I204" s="131"/>
      <c r="J204" s="132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  <c r="X204" s="151"/>
      <c r="Y204" s="151"/>
      <c r="Z204" s="151"/>
      <c r="AA204" s="151"/>
      <c r="AB204" s="151"/>
      <c r="AC204" s="151"/>
    </row>
    <row r="205" spans="1:29" s="124" customFormat="1" ht="15" x14ac:dyDescent="0.25">
      <c r="A205" s="119"/>
      <c r="B205" s="104" t="s">
        <v>21</v>
      </c>
      <c r="C205" s="104" t="s">
        <v>233</v>
      </c>
      <c r="D205" s="104" t="s">
        <v>3</v>
      </c>
      <c r="E205" s="106">
        <v>75000</v>
      </c>
      <c r="F205" s="106">
        <v>225000</v>
      </c>
      <c r="G205" s="106">
        <v>0</v>
      </c>
      <c r="H205" s="106">
        <f t="shared" si="11"/>
        <v>0</v>
      </c>
      <c r="I205" s="121"/>
      <c r="J205" s="122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3"/>
      <c r="AC205" s="123"/>
    </row>
    <row r="206" spans="1:29" s="124" customFormat="1" ht="15" x14ac:dyDescent="0.25">
      <c r="A206" s="119"/>
      <c r="B206" s="104"/>
      <c r="C206" s="129" t="s">
        <v>19</v>
      </c>
      <c r="D206" s="104"/>
      <c r="E206" s="135">
        <f>SUM(E207,E209,E211)</f>
        <v>1939300</v>
      </c>
      <c r="F206" s="135">
        <f>SUM(F207,F209,F211)</f>
        <v>2063884</v>
      </c>
      <c r="G206" s="135">
        <f>SUM(G207,G209,G211)</f>
        <v>986179</v>
      </c>
      <c r="H206" s="130">
        <f t="shared" si="11"/>
        <v>47.8</v>
      </c>
      <c r="I206" s="121"/>
      <c r="J206" s="122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  <c r="AC206" s="123"/>
    </row>
    <row r="207" spans="1:29" s="124" customFormat="1" ht="15" x14ac:dyDescent="0.25">
      <c r="A207" s="119"/>
      <c r="B207" s="104"/>
      <c r="C207" s="133" t="s">
        <v>234</v>
      </c>
      <c r="D207" s="133"/>
      <c r="E207" s="130">
        <f>SUM(E208)</f>
        <v>10000</v>
      </c>
      <c r="F207" s="130">
        <f>SUM(F208)</f>
        <v>10000</v>
      </c>
      <c r="G207" s="130">
        <f>SUM(G208)</f>
        <v>5501</v>
      </c>
      <c r="H207" s="130">
        <f t="shared" si="11"/>
        <v>55</v>
      </c>
      <c r="I207" s="121"/>
      <c r="J207" s="122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  <c r="AA207" s="123"/>
      <c r="AB207" s="123"/>
      <c r="AC207" s="123"/>
    </row>
    <row r="208" spans="1:29" s="124" customFormat="1" ht="15" x14ac:dyDescent="0.25">
      <c r="A208" s="119"/>
      <c r="B208" s="104" t="s">
        <v>235</v>
      </c>
      <c r="C208" s="104" t="s">
        <v>236</v>
      </c>
      <c r="D208" s="104" t="s">
        <v>3</v>
      </c>
      <c r="E208" s="106">
        <v>10000</v>
      </c>
      <c r="F208" s="106">
        <v>10000</v>
      </c>
      <c r="G208" s="106">
        <v>5501</v>
      </c>
      <c r="H208" s="120">
        <f t="shared" si="11"/>
        <v>55</v>
      </c>
      <c r="I208" s="121"/>
      <c r="J208" s="122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23"/>
      <c r="AC208" s="123"/>
    </row>
    <row r="209" spans="1:29" s="124" customFormat="1" ht="15" x14ac:dyDescent="0.25">
      <c r="A209" s="119"/>
      <c r="B209" s="104"/>
      <c r="C209" s="133" t="s">
        <v>237</v>
      </c>
      <c r="D209" s="133"/>
      <c r="E209" s="130">
        <f>SUM(E210)</f>
        <v>6500</v>
      </c>
      <c r="F209" s="130">
        <f>SUM(F210)</f>
        <v>6500</v>
      </c>
      <c r="G209" s="130">
        <f>SUM(G210)</f>
        <v>0</v>
      </c>
      <c r="H209" s="130">
        <f t="shared" si="11"/>
        <v>0</v>
      </c>
      <c r="I209" s="121"/>
      <c r="J209" s="122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3"/>
      <c r="AC209" s="123"/>
    </row>
    <row r="210" spans="1:29" s="124" customFormat="1" ht="15" x14ac:dyDescent="0.25">
      <c r="A210" s="119"/>
      <c r="B210" s="104" t="s">
        <v>235</v>
      </c>
      <c r="C210" s="104" t="s">
        <v>20</v>
      </c>
      <c r="D210" s="104" t="s">
        <v>3</v>
      </c>
      <c r="E210" s="106">
        <v>6500</v>
      </c>
      <c r="F210" s="106">
        <v>6500</v>
      </c>
      <c r="G210" s="106">
        <v>0</v>
      </c>
      <c r="H210" s="120">
        <f t="shared" si="11"/>
        <v>0</v>
      </c>
      <c r="I210" s="121"/>
      <c r="J210" s="122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  <c r="AC210" s="123"/>
    </row>
    <row r="211" spans="1:29" s="124" customFormat="1" ht="15" x14ac:dyDescent="0.25">
      <c r="A211" s="119"/>
      <c r="B211" s="104"/>
      <c r="C211" s="133" t="s">
        <v>238</v>
      </c>
      <c r="D211" s="129"/>
      <c r="E211" s="130">
        <f>SUM(E213,E214)</f>
        <v>1922800</v>
      </c>
      <c r="F211" s="130">
        <f>SUM(F213,F214,F212)</f>
        <v>2047384</v>
      </c>
      <c r="G211" s="130">
        <f>SUM(G213,G214,G212)</f>
        <v>980678</v>
      </c>
      <c r="H211" s="135">
        <f t="shared" si="11"/>
        <v>47.9</v>
      </c>
      <c r="I211" s="121"/>
      <c r="J211" s="122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  <c r="AB211" s="123"/>
      <c r="AC211" s="123"/>
    </row>
    <row r="212" spans="1:29" s="124" customFormat="1" ht="15" x14ac:dyDescent="0.25">
      <c r="A212" s="119"/>
      <c r="B212" s="104" t="s">
        <v>21</v>
      </c>
      <c r="C212" s="104" t="s">
        <v>291</v>
      </c>
      <c r="D212" s="104" t="s">
        <v>3</v>
      </c>
      <c r="E212" s="106"/>
      <c r="F212" s="106">
        <v>60000</v>
      </c>
      <c r="G212" s="106">
        <v>60110</v>
      </c>
      <c r="H212" s="106">
        <f t="shared" si="11"/>
        <v>100.2</v>
      </c>
      <c r="I212" s="121"/>
      <c r="J212" s="122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</row>
    <row r="213" spans="1:29" s="124" customFormat="1" ht="15" x14ac:dyDescent="0.25">
      <c r="A213" s="119"/>
      <c r="B213" s="104" t="s">
        <v>21</v>
      </c>
      <c r="C213" s="104" t="s">
        <v>239</v>
      </c>
      <c r="D213" s="104" t="s">
        <v>3</v>
      </c>
      <c r="E213" s="106">
        <v>539600</v>
      </c>
      <c r="F213" s="106">
        <f>8200+595984</f>
        <v>604184</v>
      </c>
      <c r="G213" s="106">
        <f>7610+518319</f>
        <v>525929</v>
      </c>
      <c r="H213" s="106">
        <f t="shared" si="11"/>
        <v>87</v>
      </c>
      <c r="I213" s="121"/>
      <c r="J213" s="122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  <c r="AA213" s="123"/>
      <c r="AB213" s="123"/>
      <c r="AC213" s="123"/>
    </row>
    <row r="214" spans="1:29" s="124" customFormat="1" ht="15" x14ac:dyDescent="0.25">
      <c r="A214" s="119"/>
      <c r="B214" s="104" t="s">
        <v>21</v>
      </c>
      <c r="C214" s="125" t="s">
        <v>239</v>
      </c>
      <c r="D214" s="125" t="s">
        <v>3</v>
      </c>
      <c r="E214" s="126">
        <v>1383200</v>
      </c>
      <c r="F214" s="126">
        <v>1383200</v>
      </c>
      <c r="G214" s="126">
        <v>394639</v>
      </c>
      <c r="H214" s="126">
        <f t="shared" si="11"/>
        <v>28.5</v>
      </c>
      <c r="I214" s="121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  <c r="AA214" s="123"/>
      <c r="AB214" s="123"/>
      <c r="AC214" s="123"/>
    </row>
    <row r="215" spans="1:29" ht="15" x14ac:dyDescent="0.25">
      <c r="B215" s="19"/>
      <c r="C215" s="19"/>
      <c r="D215" s="19"/>
      <c r="E215" s="36"/>
      <c r="F215" s="36"/>
      <c r="G215" s="36"/>
      <c r="H215" s="36"/>
      <c r="I215" s="30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</row>
    <row r="216" spans="1:29" ht="15" x14ac:dyDescent="0.25">
      <c r="B216" s="37" t="s">
        <v>240</v>
      </c>
      <c r="C216" s="19" t="s">
        <v>241</v>
      </c>
      <c r="D216" s="19"/>
      <c r="E216" s="36"/>
      <c r="F216" s="36"/>
      <c r="G216" s="36"/>
      <c r="H216" s="36"/>
      <c r="I216" s="21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</row>
    <row r="217" spans="1:29" ht="15" x14ac:dyDescent="0.25">
      <c r="B217" s="19"/>
      <c r="C217" s="19"/>
      <c r="D217" s="19"/>
      <c r="E217" s="36"/>
      <c r="F217" s="36"/>
      <c r="G217" s="36"/>
      <c r="H217" s="36"/>
      <c r="I217" s="21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</row>
    <row r="218" spans="1:29" ht="15" x14ac:dyDescent="0.25">
      <c r="B218" s="19"/>
      <c r="C218" s="19"/>
      <c r="D218" s="19"/>
      <c r="E218" s="36"/>
      <c r="F218" s="36"/>
      <c r="G218" s="36"/>
      <c r="H218" s="36"/>
      <c r="I218" s="21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</row>
    <row r="219" spans="1:29" ht="15" x14ac:dyDescent="0.25">
      <c r="B219" s="19"/>
      <c r="C219" s="19"/>
      <c r="D219" s="19"/>
      <c r="E219" s="36"/>
      <c r="F219" s="36"/>
      <c r="G219" s="36"/>
      <c r="H219" s="36"/>
      <c r="I219" s="21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</row>
    <row r="220" spans="1:29" ht="15" x14ac:dyDescent="0.25">
      <c r="B220" s="38"/>
      <c r="C220" s="38"/>
      <c r="D220" s="38"/>
      <c r="E220" s="39"/>
      <c r="F220" s="39"/>
      <c r="G220" s="39"/>
      <c r="H220" s="39"/>
      <c r="I220" s="21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</row>
    <row r="221" spans="1:29" ht="15" x14ac:dyDescent="0.25">
      <c r="B221" s="38"/>
      <c r="C221" s="38"/>
      <c r="D221" s="38"/>
      <c r="E221" s="39"/>
      <c r="F221" s="39"/>
      <c r="G221" s="39"/>
      <c r="H221" s="39"/>
      <c r="I221" s="21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</row>
    <row r="222" spans="1:29" ht="15" x14ac:dyDescent="0.25">
      <c r="B222" s="38"/>
      <c r="C222" s="38"/>
      <c r="D222" s="38"/>
      <c r="E222" s="39"/>
      <c r="F222" s="39"/>
      <c r="G222" s="39"/>
      <c r="H222" s="39"/>
      <c r="I222" s="21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</row>
    <row r="223" spans="1:29" ht="15" x14ac:dyDescent="0.25">
      <c r="B223" s="38"/>
      <c r="C223" s="38"/>
      <c r="D223" s="38"/>
      <c r="E223" s="39"/>
      <c r="F223" s="39"/>
      <c r="G223" s="39"/>
      <c r="H223" s="39"/>
      <c r="I223" s="21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</row>
    <row r="224" spans="1:29" ht="15" x14ac:dyDescent="0.25">
      <c r="B224" s="38"/>
      <c r="C224" s="38"/>
      <c r="D224" s="38"/>
      <c r="E224" s="39"/>
      <c r="F224" s="39"/>
      <c r="G224" s="39"/>
      <c r="H224" s="39"/>
      <c r="I224" s="21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</row>
    <row r="225" spans="2:29" ht="15" x14ac:dyDescent="0.25">
      <c r="B225" s="38"/>
      <c r="C225" s="38"/>
      <c r="D225" s="38"/>
      <c r="E225" s="39"/>
      <c r="F225" s="39"/>
      <c r="G225" s="39"/>
      <c r="H225" s="39"/>
      <c r="I225" s="21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</row>
    <row r="226" spans="2:29" ht="15" x14ac:dyDescent="0.25">
      <c r="B226" s="38"/>
      <c r="C226" s="38"/>
      <c r="D226" s="38"/>
      <c r="E226" s="39"/>
      <c r="F226" s="39"/>
      <c r="G226" s="39"/>
      <c r="H226" s="39"/>
      <c r="I226" s="21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</row>
    <row r="227" spans="2:29" ht="15" x14ac:dyDescent="0.25">
      <c r="B227" s="38"/>
      <c r="C227" s="38"/>
      <c r="D227" s="38"/>
      <c r="E227" s="39"/>
      <c r="F227" s="39"/>
      <c r="G227" s="39"/>
      <c r="H227" s="39"/>
      <c r="I227" s="38"/>
    </row>
    <row r="228" spans="2:29" ht="15" x14ac:dyDescent="0.25">
      <c r="B228" s="38"/>
      <c r="C228" s="38"/>
      <c r="D228" s="38"/>
      <c r="E228" s="39"/>
      <c r="F228" s="39"/>
      <c r="G228" s="39"/>
      <c r="H228" s="39"/>
      <c r="I228" s="38"/>
    </row>
    <row r="229" spans="2:29" ht="15" x14ac:dyDescent="0.25">
      <c r="B229" s="38"/>
      <c r="C229" s="38"/>
      <c r="D229" s="38"/>
      <c r="E229" s="39"/>
      <c r="F229" s="39"/>
      <c r="G229" s="39"/>
      <c r="H229" s="39"/>
      <c r="I229" s="38"/>
    </row>
    <row r="230" spans="2:29" ht="15" x14ac:dyDescent="0.25">
      <c r="B230" s="38"/>
      <c r="C230" s="38"/>
      <c r="D230" s="38"/>
      <c r="E230" s="39"/>
      <c r="F230" s="39"/>
      <c r="G230" s="39"/>
      <c r="H230" s="39"/>
      <c r="I230" s="38"/>
    </row>
    <row r="231" spans="2:29" ht="15" x14ac:dyDescent="0.25">
      <c r="B231" s="38"/>
      <c r="C231" s="38"/>
      <c r="D231" s="38"/>
      <c r="E231" s="39"/>
      <c r="F231" s="39"/>
      <c r="G231" s="39"/>
      <c r="H231" s="39"/>
      <c r="I231" s="38"/>
    </row>
    <row r="232" spans="2:29" ht="18.75" x14ac:dyDescent="0.3">
      <c r="B232" s="40"/>
      <c r="C232" s="40"/>
      <c r="D232" s="40"/>
      <c r="E232" s="41"/>
      <c r="F232" s="41"/>
      <c r="G232" s="41"/>
      <c r="H232" s="41"/>
      <c r="I232" s="40"/>
    </row>
    <row r="233" spans="2:29" ht="18.75" x14ac:dyDescent="0.3">
      <c r="B233" s="40"/>
      <c r="C233" s="40"/>
      <c r="D233" s="40"/>
      <c r="E233" s="41"/>
      <c r="F233" s="41"/>
      <c r="G233" s="41"/>
      <c r="H233" s="41"/>
      <c r="I233" s="40"/>
    </row>
    <row r="234" spans="2:29" ht="18.75" x14ac:dyDescent="0.3">
      <c r="B234" s="40"/>
      <c r="C234" s="40"/>
      <c r="D234" s="40"/>
      <c r="E234" s="41"/>
      <c r="F234" s="41"/>
      <c r="G234" s="41"/>
      <c r="H234" s="41"/>
      <c r="I234" s="40"/>
    </row>
    <row r="235" spans="2:29" x14ac:dyDescent="0.2">
      <c r="E235" s="42"/>
      <c r="F235" s="42"/>
      <c r="G235" s="42"/>
      <c r="H235" s="4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eelarve täitmine2018</vt:lpstr>
      <vt:lpstr>investeeringud2018</vt:lpstr>
    </vt:vector>
  </TitlesOfParts>
  <Company>Tartu Linnavalitsus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Tartu Linnavalitsus</dc:creator>
  <cp:lastModifiedBy>Merit</cp:lastModifiedBy>
  <cp:lastPrinted>2019-03-22T12:52:49Z</cp:lastPrinted>
  <dcterms:created xsi:type="dcterms:W3CDTF">2017-02-02T07:06:15Z</dcterms:created>
  <dcterms:modified xsi:type="dcterms:W3CDTF">2019-03-26T07:18:20Z</dcterms:modified>
</cp:coreProperties>
</file>